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tables/table2.xml" ContentType="application/vnd.openxmlformats-officedocument.spreadsheetml.table+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omments9.xml" ContentType="application/vnd.openxmlformats-officedocument.spreadsheetml.comments+xml"/>
  <Override PartName="/xl/comments10.xml" ContentType="application/vnd.openxmlformats-officedocument.spreadsheetml.comments+xml"/>
  <Override PartName="/xl/drawings/drawing7.xml" ContentType="application/vnd.openxmlformats-officedocument.drawing+xml"/>
  <Override PartName="/xl/comments1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codeName="ThisWorkbook"/>
  <mc:AlternateContent xmlns:mc="http://schemas.openxmlformats.org/markup-compatibility/2006">
    <mc:Choice Requires="x15">
      <x15ac:absPath xmlns:x15ac="http://schemas.microsoft.com/office/spreadsheetml/2010/11/ac" url="C:\Users\ninja\OneDrive\Desktop\WSO Templates 21.7\"/>
    </mc:Choice>
  </mc:AlternateContent>
  <xr:revisionPtr revIDLastSave="17" documentId="11_679E180AAF43F1EBDFC16DC29ABB39114B37DFBB" xr6:coauthVersionLast="45" xr6:coauthVersionMax="45" xr10:uidLastSave="{5670C4A8-8E99-43EC-BF95-AF2B96669A2E}"/>
  <bookViews>
    <workbookView xWindow="-90" yWindow="-90" windowWidth="19380" windowHeight="10380" xr2:uid="{00000000-000D-0000-FFFF-FFFF00000000}"/>
  </bookViews>
  <sheets>
    <sheet name="WSO Cover Page" sheetId="37" r:id="rId1"/>
    <sheet name="inputs" sheetId="1" r:id="rId2"/>
    <sheet name="multiples" sheetId="36" r:id="rId3"/>
    <sheet name="PE" sheetId="35" r:id="rId4"/>
    <sheet name="FCF" sheetId="2" r:id="rId5"/>
    <sheet name="IS" sheetId="3" r:id="rId6"/>
    <sheet name="Income Statement" sheetId="5" r:id="rId7"/>
    <sheet name="Actual IS" sheetId="6" r:id="rId8"/>
    <sheet name="2010 Q IS" sheetId="7" r:id="rId9"/>
    <sheet name="BS" sheetId="8" r:id="rId10"/>
    <sheet name="Balance Sheet" sheetId="9" r:id="rId11"/>
    <sheet name="Actual BS" sheetId="10" r:id="rId12"/>
    <sheet name="cf" sheetId="11" r:id="rId13"/>
    <sheet name="workingcap" sheetId="12" r:id="rId14"/>
    <sheet name="Investments" sheetId="13" r:id="rId15"/>
    <sheet name="amort" sheetId="14" r:id="rId16"/>
    <sheet name="other" sheetId="15" r:id="rId17"/>
    <sheet name="equity" sheetId="16" r:id="rId18"/>
    <sheet name="shares" sheetId="17" r:id="rId19"/>
    <sheet name="debt_interest" sheetId="18" r:id="rId20"/>
    <sheet name="CB-pf" sheetId="19" r:id="rId21"/>
    <sheet name="2011 Guidance" sheetId="20" r:id="rId22"/>
    <sheet name="NI vs EPS vs shares" sheetId="21" r:id="rId23"/>
    <sheet name="BS 2010 Q3" sheetId="22" r:id="rId24"/>
    <sheet name="Capital" sheetId="23" r:id="rId25"/>
    <sheet name="BS_Index" sheetId="24" r:id="rId26"/>
    <sheet name="BS_Common" sheetId="25" r:id="rId27"/>
    <sheet name="IS_Index" sheetId="26" r:id="rId28"/>
    <sheet name="IS_Common" sheetId="27" r:id="rId29"/>
    <sheet name="Du Pont" sheetId="28" r:id="rId30"/>
    <sheet name="Ratios (2)" sheetId="29" r:id="rId31"/>
    <sheet name="TRV Comps" sheetId="30" r:id="rId32"/>
    <sheet name="Actual CF" sheetId="31" r:id="rId33"/>
    <sheet name="ratios" sheetId="32" state="hidden" r:id="rId34"/>
    <sheet name="reconciliations" sheetId="33" state="hidden" r:id="rId35"/>
    <sheet name="DCF" sheetId="34" state="hidden" r:id="rId36"/>
  </sheets>
  <externalReferences>
    <externalReference r:id="rId37"/>
  </externalReferences>
  <definedNames>
    <definedName name="_xlnm._FilterDatabase" localSheetId="16" hidden="1">other!$B$1:$B$2</definedName>
    <definedName name="Adjust">IS!$Z$7</definedName>
    <definedName name="amort">amort!$A$1</definedName>
    <definedName name="BDA_CB_US_ARD_Items_Balance" localSheetId="2">#REF!</definedName>
    <definedName name="BDA_CB_US_ARD_Items_Balance">#REF!</definedName>
    <definedName name="BDA_CB_US_ARD_Items_Cash_Fl">'Actual CF'!$1:$1048576</definedName>
    <definedName name="BDA_CB_US_ARD_Items_Income_">[1]IS!$A$1:$IV$65536</definedName>
    <definedName name="bs">BS!$A$1</definedName>
    <definedName name="bs.date">DCF!$F$64</definedName>
    <definedName name="cf">cf!$A$1</definedName>
    <definedName name="days">workingcap!$G$26</definedName>
    <definedName name="DCF">DCF!$A$1</definedName>
    <definedName name="debt_interest">debt_interest!$A$1</definedName>
    <definedName name="dep">Investments!$A$1</definedName>
    <definedName name="equity">equity!$A$1</definedName>
    <definedName name="FYE">inputs!$F$7</definedName>
    <definedName name="inputs">inputs!$A$1</definedName>
    <definedName name="IQ_ADDIN" hidden="1">"AUTO"</definedName>
    <definedName name="IQ_CH" hidden="1">110000</definedName>
    <definedName name="IQ_CQ" hidden="1">5000</definedName>
    <definedName name="IQ_CY" hidden="1">10000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MONTH" hidden="1">15000</definedName>
    <definedName name="IQ_NAMES_REVISION_DATE_" hidden="1">40168.7040740741</definedName>
    <definedName name="IQ_NTM" hidden="1">6000</definedName>
    <definedName name="IQ_TODAY" hidden="1">0</definedName>
    <definedName name="IQ_WEEK" hidden="1">50000</definedName>
    <definedName name="IQ_YTD" hidden="1">3000</definedName>
    <definedName name="is">IS!$A$1</definedName>
    <definedName name="Name">inputs!$F$3</definedName>
    <definedName name="Notes" localSheetId="2">#REF!</definedName>
    <definedName name="Notes">#REF!</definedName>
    <definedName name="other">other!$A$1</definedName>
    <definedName name="_xlnm.Print_Area" localSheetId="15">amort!$B$1:$P$19</definedName>
    <definedName name="_xlnm.Print_Area" localSheetId="9">BS!$B$1:$P$33</definedName>
    <definedName name="_xlnm.Print_Area" localSheetId="12">cf!$B$1:$P$33</definedName>
    <definedName name="_xlnm.Print_Area" localSheetId="35">DCF!$B$1:$R$61,DCF!$B$66:$Q$109</definedName>
    <definedName name="_xlnm.Print_Area" localSheetId="19">debt_interest!$B$1:$P$43</definedName>
    <definedName name="_xlnm.Print_Area" localSheetId="17">equity!$B$1:$P$32</definedName>
    <definedName name="_xlnm.Print_Area" localSheetId="1">inputs!$B$3:$M$50</definedName>
    <definedName name="_xlnm.Print_Area" localSheetId="14">Investments!$B$1:$P$20</definedName>
    <definedName name="_xlnm.Print_Area" localSheetId="5">IS!$B$1:$R$48</definedName>
    <definedName name="_xlnm.Print_Area" localSheetId="16">other!$B$1:$P$19</definedName>
    <definedName name="_xlnm.Print_Area" localSheetId="33">ratios!$B$1:$R$77</definedName>
    <definedName name="_xlnm.Print_Area" localSheetId="34">reconciliations!$B$1:$X$35</definedName>
    <definedName name="_xlnm.Print_Area" localSheetId="18">shares!$B$1:$P$15</definedName>
    <definedName name="_xlnm.Print_Area" localSheetId="13">workingcap!$B$1:$P$34</definedName>
    <definedName name="_xlnm.Print_Titles" localSheetId="33">ratios!$1:$2</definedName>
    <definedName name="pv.date">DCF!$F$63</definedName>
    <definedName name="Ratios">ratios!$A$1</definedName>
    <definedName name="reconciliations">reconciliations!$A$1</definedName>
    <definedName name="shares">shares!$A$1</definedName>
    <definedName name="Subheader">inputs!$F$5</definedName>
    <definedName name="TTS" localSheetId="2">#REF!</definedName>
    <definedName name="TTS">#REF!</definedName>
    <definedName name="workingcap">workingcap!$A$1</definedName>
    <definedName name="Z_5A4827F7_D52D_44AD_B257_2AB13F875B96_.wvu.Cols" localSheetId="8" hidden="1">'2010 Q IS'!$B:$AH</definedName>
    <definedName name="Z_5A4827F7_D52D_44AD_B257_2AB13F875B96_.wvu.Cols" localSheetId="11" hidden="1">'Actual BS'!$B:$B</definedName>
    <definedName name="Z_5A4827F7_D52D_44AD_B257_2AB13F875B96_.wvu.Cols" localSheetId="7" hidden="1">'Actual IS'!$B:$B</definedName>
    <definedName name="Z_5A4827F7_D52D_44AD_B257_2AB13F875B96_.wvu.FilterData" localSheetId="16" hidden="1">other!$B$1:$B$2</definedName>
    <definedName name="Z_5A4827F7_D52D_44AD_B257_2AB13F875B96_.wvu.PrintArea" localSheetId="15" hidden="1">amort!$B$1:$P$19</definedName>
    <definedName name="Z_5A4827F7_D52D_44AD_B257_2AB13F875B96_.wvu.PrintArea" localSheetId="9" hidden="1">BS!$B$1:$P$33</definedName>
    <definedName name="Z_5A4827F7_D52D_44AD_B257_2AB13F875B96_.wvu.PrintArea" localSheetId="12" hidden="1">cf!$B$1:$P$33</definedName>
    <definedName name="Z_5A4827F7_D52D_44AD_B257_2AB13F875B96_.wvu.PrintArea" localSheetId="35" hidden="1">DCF!$B$1:$R$61,DCF!$B$66:$Q$109</definedName>
    <definedName name="Z_5A4827F7_D52D_44AD_B257_2AB13F875B96_.wvu.PrintArea" localSheetId="19" hidden="1">debt_interest!$B$1:$P$43</definedName>
    <definedName name="Z_5A4827F7_D52D_44AD_B257_2AB13F875B96_.wvu.PrintArea" localSheetId="17" hidden="1">equity!$B$1:$P$32</definedName>
    <definedName name="Z_5A4827F7_D52D_44AD_B257_2AB13F875B96_.wvu.PrintArea" localSheetId="1" hidden="1">inputs!$B$3:$M$50</definedName>
    <definedName name="Z_5A4827F7_D52D_44AD_B257_2AB13F875B96_.wvu.PrintArea" localSheetId="14" hidden="1">Investments!$B$1:$P$20</definedName>
    <definedName name="Z_5A4827F7_D52D_44AD_B257_2AB13F875B96_.wvu.PrintArea" localSheetId="5" hidden="1">IS!$B$1:$R$48</definedName>
    <definedName name="Z_5A4827F7_D52D_44AD_B257_2AB13F875B96_.wvu.PrintArea" localSheetId="16" hidden="1">other!$B$1:$P$19</definedName>
    <definedName name="Z_5A4827F7_D52D_44AD_B257_2AB13F875B96_.wvu.PrintArea" localSheetId="33" hidden="1">ratios!$B$1:$R$77</definedName>
    <definedName name="Z_5A4827F7_D52D_44AD_B257_2AB13F875B96_.wvu.PrintArea" localSheetId="34" hidden="1">reconciliations!$B$1:$X$35</definedName>
    <definedName name="Z_5A4827F7_D52D_44AD_B257_2AB13F875B96_.wvu.PrintArea" localSheetId="18" hidden="1">shares!$B$1:$P$15</definedName>
    <definedName name="Z_5A4827F7_D52D_44AD_B257_2AB13F875B96_.wvu.PrintArea" localSheetId="13" hidden="1">workingcap!$B$1:$P$34</definedName>
    <definedName name="Z_5A4827F7_D52D_44AD_B257_2AB13F875B96_.wvu.PrintTitles" localSheetId="33" hidden="1">ratios!$1:$2</definedName>
    <definedName name="Z_5A4827F7_D52D_44AD_B257_2AB13F875B96_.wvu.Rows" localSheetId="35" hidden="1">DCF!$44:$50</definedName>
    <definedName name="Z_5A4827F7_D52D_44AD_B257_2AB13F875B96_.wvu.Rows" localSheetId="33" hidden="1">ratios!$25:$27,ratios!$33:$35,ratios!$48:$60</definedName>
  </definedNames>
  <calcPr calcId="191029" concurrentCalc="0"/>
  <customWorkbookViews>
    <customWorkbookView name="Viral Kothari - Personal View" guid="{5A4827F7-D52D-44AD-B257-2AB13F875B96}" mergeInterval="0" personalView="1" maximized="1" xWindow="1" yWindow="1" windowWidth="1362" windowHeight="577" activeSheetId="2"/>
  </customWorkbookViews>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23" i="2" l="1"/>
  <c r="B41" i="2"/>
  <c r="B40" i="2"/>
  <c r="B46" i="2"/>
  <c r="B47" i="2"/>
  <c r="B1" i="16"/>
  <c r="B1" i="14"/>
  <c r="B1" i="12"/>
  <c r="F38" i="36"/>
  <c r="F39" i="36"/>
  <c r="F40" i="36"/>
  <c r="F41" i="36"/>
  <c r="F42" i="36"/>
  <c r="F43" i="36"/>
  <c r="F37" i="36"/>
  <c r="M5" i="29"/>
  <c r="F6" i="36"/>
  <c r="G6" i="36"/>
  <c r="H6" i="36"/>
  <c r="I6" i="36"/>
  <c r="J6" i="36"/>
  <c r="K6" i="36"/>
  <c r="L6" i="36"/>
  <c r="M6" i="36"/>
  <c r="B55" i="2"/>
  <c r="B56" i="2"/>
  <c r="B57" i="2"/>
  <c r="B58" i="2"/>
  <c r="B59" i="2"/>
  <c r="B60" i="2"/>
  <c r="B61" i="2"/>
  <c r="B62" i="2"/>
  <c r="D53" i="2"/>
  <c r="E53" i="2"/>
  <c r="F53" i="2"/>
  <c r="G53" i="2"/>
  <c r="H53" i="2"/>
  <c r="I53" i="2"/>
  <c r="J53" i="2"/>
  <c r="I43" i="2"/>
  <c r="I44" i="2"/>
  <c r="I45" i="2"/>
  <c r="I46" i="2"/>
  <c r="I47" i="2"/>
  <c r="L37" i="3"/>
  <c r="H61" i="3"/>
  <c r="H62" i="3"/>
  <c r="H63" i="3"/>
  <c r="H64" i="3"/>
  <c r="H65" i="3"/>
  <c r="H66" i="3"/>
  <c r="L6" i="35"/>
  <c r="L5" i="35"/>
  <c r="L4" i="35"/>
  <c r="L3" i="35"/>
  <c r="L15" i="35"/>
  <c r="L14" i="35"/>
  <c r="L13" i="35"/>
  <c r="L12" i="35"/>
  <c r="L11" i="35"/>
  <c r="L10" i="35"/>
  <c r="L9" i="35"/>
  <c r="L8" i="35"/>
  <c r="L7" i="35"/>
  <c r="G18" i="35"/>
  <c r="G17" i="35"/>
  <c r="G16" i="35"/>
  <c r="G15" i="35"/>
  <c r="H10" i="35"/>
  <c r="H4" i="35"/>
  <c r="H5" i="35"/>
  <c r="H6" i="35"/>
  <c r="H7" i="35"/>
  <c r="H8" i="35"/>
  <c r="H9" i="35"/>
  <c r="H3" i="35"/>
  <c r="D19" i="35"/>
  <c r="E3" i="35"/>
  <c r="D18" i="35"/>
  <c r="D17" i="35"/>
  <c r="D16" i="35"/>
  <c r="D15" i="35"/>
  <c r="E4" i="35"/>
  <c r="E5" i="35"/>
  <c r="E6" i="35"/>
  <c r="E7" i="35"/>
  <c r="E8" i="35"/>
  <c r="M8" i="35"/>
  <c r="E9" i="35"/>
  <c r="E10" i="35"/>
  <c r="E11" i="35"/>
  <c r="I10" i="35"/>
  <c r="M11" i="35"/>
  <c r="I3" i="35"/>
  <c r="I7" i="35"/>
  <c r="E12" i="35"/>
  <c r="M12" i="35"/>
  <c r="I9" i="35"/>
  <c r="I5" i="35"/>
  <c r="E44" i="36"/>
  <c r="E14" i="35"/>
  <c r="M6" i="35"/>
  <c r="M4" i="35"/>
  <c r="H14" i="35"/>
  <c r="M14" i="35"/>
  <c r="M10" i="35"/>
  <c r="I8" i="35"/>
  <c r="I6" i="35"/>
  <c r="I4" i="35"/>
  <c r="M3" i="35"/>
  <c r="M9" i="35"/>
  <c r="M7" i="35"/>
  <c r="M5" i="35"/>
  <c r="H11" i="35"/>
  <c r="I11" i="35"/>
  <c r="H13" i="35"/>
  <c r="E15" i="35"/>
  <c r="H12" i="35"/>
  <c r="E13" i="35"/>
  <c r="M13" i="35"/>
  <c r="I12" i="35"/>
  <c r="I14" i="35"/>
  <c r="I13" i="35"/>
  <c r="B21" i="35"/>
  <c r="M7" i="8"/>
  <c r="N7" i="8"/>
  <c r="O7" i="8"/>
  <c r="P7" i="8"/>
  <c r="L24" i="11"/>
  <c r="C16" i="2"/>
  <c r="D16" i="2"/>
  <c r="E16" i="2"/>
  <c r="F16" i="2"/>
  <c r="B16" i="2"/>
  <c r="C4" i="2"/>
  <c r="D4" i="2"/>
  <c r="E4" i="2"/>
  <c r="F4" i="2"/>
  <c r="B4" i="2"/>
  <c r="O34" i="3"/>
  <c r="G20" i="2"/>
  <c r="F20" i="2"/>
  <c r="B20" i="2"/>
  <c r="AC12" i="3"/>
  <c r="Z14" i="3"/>
  <c r="AC14" i="3"/>
  <c r="AF14" i="3"/>
  <c r="AF15" i="3"/>
  <c r="AC15" i="3"/>
  <c r="Z16" i="3"/>
  <c r="Z17" i="3"/>
  <c r="AF21" i="3"/>
  <c r="Z22" i="3"/>
  <c r="AC22" i="3"/>
  <c r="Z23" i="3"/>
  <c r="AF27" i="3"/>
  <c r="AF26" i="3"/>
  <c r="AF38" i="3"/>
  <c r="AF35" i="3"/>
  <c r="AF50" i="3"/>
  <c r="AF51" i="3"/>
  <c r="K14" i="3"/>
  <c r="J8" i="3"/>
  <c r="I8" i="3"/>
  <c r="B8" i="3"/>
  <c r="P20" i="16"/>
  <c r="O20" i="16"/>
  <c r="N20" i="16"/>
  <c r="M20" i="16"/>
  <c r="L20" i="16"/>
  <c r="L7" i="17"/>
  <c r="J10" i="17"/>
  <c r="M36" i="3"/>
  <c r="N36" i="3"/>
  <c r="O36" i="3"/>
  <c r="P36" i="3"/>
  <c r="I8" i="13"/>
  <c r="P10" i="8"/>
  <c r="O10" i="8"/>
  <c r="N10" i="8"/>
  <c r="M10" i="8"/>
  <c r="L10" i="8"/>
  <c r="M31" i="12"/>
  <c r="N31" i="12"/>
  <c r="O31" i="12"/>
  <c r="P31" i="12"/>
  <c r="C8" i="15"/>
  <c r="K29" i="16"/>
  <c r="B1" i="13"/>
  <c r="M32" i="12"/>
  <c r="N32" i="12"/>
  <c r="O32" i="12"/>
  <c r="P32" i="12"/>
  <c r="C13" i="12"/>
  <c r="K14" i="15"/>
  <c r="L14" i="15"/>
  <c r="N14" i="18"/>
  <c r="L15" i="18"/>
  <c r="D20" i="2"/>
  <c r="C20" i="2"/>
  <c r="E20" i="2"/>
  <c r="AC16" i="3"/>
  <c r="AC17" i="3"/>
  <c r="L14" i="3"/>
  <c r="K27" i="3"/>
  <c r="K24" i="3"/>
  <c r="AP45" i="7"/>
  <c r="AP25" i="7"/>
  <c r="AQ21" i="7"/>
  <c r="L18" i="6"/>
  <c r="K37" i="6"/>
  <c r="K28" i="6"/>
  <c r="D28" i="6"/>
  <c r="E28" i="6"/>
  <c r="F28" i="6"/>
  <c r="G28" i="6"/>
  <c r="H28" i="6"/>
  <c r="I28" i="6"/>
  <c r="J28" i="6"/>
  <c r="C37" i="6"/>
  <c r="D37" i="6"/>
  <c r="E37" i="6"/>
  <c r="F37" i="6"/>
  <c r="G37" i="6"/>
  <c r="H37" i="6"/>
  <c r="I37" i="6"/>
  <c r="J37" i="6"/>
  <c r="K39" i="6"/>
  <c r="AP46" i="7"/>
  <c r="AP51" i="7"/>
  <c r="AP57" i="7"/>
  <c r="AQ57" i="7"/>
  <c r="K8" i="3"/>
  <c r="AQ45" i="7"/>
  <c r="AQ23" i="7"/>
  <c r="AQ20" i="7"/>
  <c r="J10" i="3"/>
  <c r="J9" i="3"/>
  <c r="I10" i="3"/>
  <c r="I9" i="3"/>
  <c r="J7" i="3"/>
  <c r="I7" i="3"/>
  <c r="B10" i="3"/>
  <c r="B9" i="3"/>
  <c r="B7" i="3"/>
  <c r="C25" i="31"/>
  <c r="J11" i="3"/>
  <c r="I36" i="3"/>
  <c r="J36" i="3"/>
  <c r="I35" i="3"/>
  <c r="J35" i="3"/>
  <c r="I11" i="3"/>
  <c r="B2" i="29"/>
  <c r="D5" i="29"/>
  <c r="E5" i="29"/>
  <c r="F5" i="29"/>
  <c r="G5" i="29"/>
  <c r="H5" i="29"/>
  <c r="I5" i="29"/>
  <c r="J5" i="29"/>
  <c r="K5" i="29"/>
  <c r="L5" i="29"/>
  <c r="D27" i="29"/>
  <c r="E27" i="29"/>
  <c r="F27" i="29"/>
  <c r="G27" i="29"/>
  <c r="H27" i="29"/>
  <c r="I27" i="29"/>
  <c r="J27" i="29"/>
  <c r="K27" i="29"/>
  <c r="L27" i="29"/>
  <c r="D28" i="29"/>
  <c r="E28" i="29"/>
  <c r="F28" i="29"/>
  <c r="G28" i="29"/>
  <c r="H28" i="29"/>
  <c r="I28" i="29"/>
  <c r="J28" i="29"/>
  <c r="K28" i="29"/>
  <c r="L28" i="29"/>
  <c r="B3" i="28"/>
  <c r="E6" i="28"/>
  <c r="F6" i="28"/>
  <c r="G6" i="28"/>
  <c r="H6" i="28"/>
  <c r="I6" i="28"/>
  <c r="J6" i="28"/>
  <c r="K6" i="28"/>
  <c r="L6" i="28"/>
  <c r="B3" i="27"/>
  <c r="C7" i="27"/>
  <c r="D7" i="27"/>
  <c r="E7" i="27"/>
  <c r="F7" i="27"/>
  <c r="G7" i="27"/>
  <c r="H7" i="27"/>
  <c r="I7" i="27"/>
  <c r="J7" i="27"/>
  <c r="K7" i="27"/>
  <c r="B8" i="27"/>
  <c r="M8" i="27"/>
  <c r="B10" i="27"/>
  <c r="M10" i="27"/>
  <c r="M11" i="27"/>
  <c r="B12" i="27"/>
  <c r="M12" i="27"/>
  <c r="B13" i="27"/>
  <c r="M13" i="27"/>
  <c r="B14" i="27"/>
  <c r="M14" i="27"/>
  <c r="M15" i="27"/>
  <c r="B16" i="27"/>
  <c r="M16" i="27"/>
  <c r="B17" i="27"/>
  <c r="M17" i="27"/>
  <c r="M18" i="27"/>
  <c r="M19" i="27"/>
  <c r="M20" i="27"/>
  <c r="M22" i="27"/>
  <c r="M23" i="27"/>
  <c r="M24" i="27"/>
  <c r="B3" i="26"/>
  <c r="C7" i="26"/>
  <c r="D7" i="26"/>
  <c r="E7" i="26"/>
  <c r="F7" i="26"/>
  <c r="G7" i="26"/>
  <c r="H7" i="26"/>
  <c r="I7" i="26"/>
  <c r="J7" i="26"/>
  <c r="K7" i="26"/>
  <c r="B8" i="26"/>
  <c r="M8" i="26"/>
  <c r="B9" i="26"/>
  <c r="M9" i="26"/>
  <c r="M10" i="26"/>
  <c r="B11" i="26"/>
  <c r="M11" i="26"/>
  <c r="B12" i="26"/>
  <c r="M12" i="26"/>
  <c r="C12" i="26"/>
  <c r="D12" i="26"/>
  <c r="E12" i="26"/>
  <c r="F12" i="26"/>
  <c r="G12" i="26"/>
  <c r="H12" i="26"/>
  <c r="I12" i="26"/>
  <c r="J12" i="26"/>
  <c r="K12" i="26"/>
  <c r="L12" i="26"/>
  <c r="B13" i="26"/>
  <c r="M13" i="26"/>
  <c r="M14" i="26"/>
  <c r="B15" i="26"/>
  <c r="M15" i="26"/>
  <c r="C15" i="26"/>
  <c r="D15" i="26"/>
  <c r="E15" i="26"/>
  <c r="F15" i="26"/>
  <c r="G15" i="26"/>
  <c r="H15" i="26"/>
  <c r="I15" i="26"/>
  <c r="J15" i="26"/>
  <c r="K15" i="26"/>
  <c r="L15" i="26"/>
  <c r="B16" i="26"/>
  <c r="M16" i="26"/>
  <c r="M17" i="26"/>
  <c r="M18" i="26"/>
  <c r="M19" i="26"/>
  <c r="M21" i="26"/>
  <c r="M22" i="26"/>
  <c r="M23" i="26"/>
  <c r="AL20" i="7"/>
  <c r="AS20" i="7"/>
  <c r="AT20" i="7"/>
  <c r="AL21" i="7"/>
  <c r="AS21" i="7"/>
  <c r="AT21" i="7"/>
  <c r="AL22" i="7"/>
  <c r="AQ22" i="7"/>
  <c r="AL23" i="7"/>
  <c r="AQ24" i="7"/>
  <c r="AL25" i="7"/>
  <c r="AQ25" i="7"/>
  <c r="AL26" i="7"/>
  <c r="AQ26" i="7"/>
  <c r="AQ27" i="7"/>
  <c r="AQ28" i="7"/>
  <c r="AQ29" i="7"/>
  <c r="AG30" i="7"/>
  <c r="AH30" i="7"/>
  <c r="AI30" i="7"/>
  <c r="AJ30" i="7"/>
  <c r="AK30" i="7"/>
  <c r="AM30" i="7"/>
  <c r="AN30" i="7"/>
  <c r="AO30" i="7"/>
  <c r="AP30" i="7"/>
  <c r="AL31" i="7"/>
  <c r="AL32" i="7"/>
  <c r="AL33" i="7"/>
  <c r="AQ33" i="7"/>
  <c r="AM34" i="7"/>
  <c r="AN34" i="7"/>
  <c r="AO34" i="7"/>
  <c r="AL35" i="7"/>
  <c r="AQ35" i="7"/>
  <c r="AQ36" i="7"/>
  <c r="AQ37" i="7"/>
  <c r="AQ38" i="7"/>
  <c r="AL39" i="7"/>
  <c r="AQ39" i="7"/>
  <c r="AQ40" i="7"/>
  <c r="AQ41" i="7"/>
  <c r="AQ42" i="7"/>
  <c r="AQ43" i="7"/>
  <c r="AL44" i="7"/>
  <c r="AQ44" i="7"/>
  <c r="AL45" i="7"/>
  <c r="AL46" i="7"/>
  <c r="AO46" i="7"/>
  <c r="AQ46" i="7"/>
  <c r="AQ47" i="7"/>
  <c r="AL48" i="7"/>
  <c r="AQ49" i="7"/>
  <c r="AQ50" i="7"/>
  <c r="AP53" i="7"/>
  <c r="AQ54" i="7"/>
  <c r="AQ55" i="7"/>
  <c r="AQ56" i="7"/>
  <c r="AL57" i="7"/>
  <c r="AQ58" i="7"/>
  <c r="AQ59" i="7"/>
  <c r="AQ60" i="7"/>
  <c r="AQ61" i="7"/>
  <c r="AQ62" i="7"/>
  <c r="AQ63" i="7"/>
  <c r="AQ64" i="7"/>
  <c r="AQ65" i="7"/>
  <c r="AQ66" i="7"/>
  <c r="AQ67" i="7"/>
  <c r="AQ68" i="7"/>
  <c r="AQ69" i="7"/>
  <c r="AQ70" i="7"/>
  <c r="AQ71" i="7"/>
  <c r="AQ72" i="7"/>
  <c r="AL73" i="7"/>
  <c r="AP73" i="7"/>
  <c r="AQ73" i="7"/>
  <c r="AL74" i="7"/>
  <c r="AQ74" i="7"/>
  <c r="AQ75" i="7"/>
  <c r="AQ76" i="7"/>
  <c r="AQ77" i="7"/>
  <c r="AQ78" i="7"/>
  <c r="AQ79" i="7"/>
  <c r="AL80" i="7"/>
  <c r="AQ81" i="7"/>
  <c r="AQ82" i="7"/>
  <c r="AQ83" i="7"/>
  <c r="AQ84" i="7"/>
  <c r="AQ85" i="7"/>
  <c r="AQ86" i="7"/>
  <c r="AQ87" i="7"/>
  <c r="AQ88" i="7"/>
  <c r="AQ89" i="7"/>
  <c r="AQ90" i="7"/>
  <c r="AQ91" i="7"/>
  <c r="AL92" i="7"/>
  <c r="AQ92" i="7"/>
  <c r="AQ93" i="7"/>
  <c r="AQ94" i="7"/>
  <c r="AQ95" i="7"/>
  <c r="AQ96" i="7"/>
  <c r="AQ97" i="7"/>
  <c r="AL98" i="7"/>
  <c r="AQ98" i="7"/>
  <c r="AQ99" i="7"/>
  <c r="AQ100" i="7"/>
  <c r="AL101" i="7"/>
  <c r="AL102" i="7"/>
  <c r="AL103" i="7"/>
  <c r="AL104" i="7"/>
  <c r="AP104" i="7"/>
  <c r="AQ104" i="7"/>
  <c r="AQ105" i="7"/>
  <c r="AQ106" i="7"/>
  <c r="AQ107" i="7"/>
  <c r="AQ108" i="7"/>
  <c r="AQ109" i="7"/>
  <c r="AQ110" i="7"/>
  <c r="AQ111" i="7"/>
  <c r="AQ112" i="7"/>
  <c r="AQ113" i="7"/>
  <c r="AQ115" i="7"/>
  <c r="AQ116" i="7"/>
  <c r="AQ117" i="7"/>
  <c r="AQ118" i="7"/>
  <c r="AQ119" i="7"/>
  <c r="AQ120" i="7"/>
  <c r="AQ121" i="7"/>
  <c r="AQ122" i="7"/>
  <c r="AQ123" i="7"/>
  <c r="AQ124" i="7"/>
  <c r="AQ125" i="7"/>
  <c r="AQ126" i="7"/>
  <c r="AQ127" i="7"/>
  <c r="AQ128" i="7"/>
  <c r="AQ129" i="7"/>
  <c r="AQ130" i="7"/>
  <c r="AQ131" i="7"/>
  <c r="AQ132" i="7"/>
  <c r="AQ133" i="7"/>
  <c r="AQ134" i="7"/>
  <c r="AQ135" i="7"/>
  <c r="AQ136" i="7"/>
  <c r="AQ137" i="7"/>
  <c r="AQ138" i="7"/>
  <c r="AQ139" i="7"/>
  <c r="AQ140" i="7"/>
  <c r="AQ141" i="7"/>
  <c r="AQ142" i="7"/>
  <c r="AQ143" i="7"/>
  <c r="AQ144" i="7"/>
  <c r="D29" i="29"/>
  <c r="J37" i="3"/>
  <c r="I37" i="3"/>
  <c r="K29" i="29"/>
  <c r="I29" i="29"/>
  <c r="G29" i="29"/>
  <c r="E29" i="29"/>
  <c r="L29" i="29"/>
  <c r="J29" i="29"/>
  <c r="H29" i="29"/>
  <c r="F29" i="29"/>
  <c r="L39" i="6"/>
  <c r="L47" i="6"/>
  <c r="AR57" i="7"/>
  <c r="AL34" i="7"/>
  <c r="AL30" i="7"/>
  <c r="L17" i="6"/>
  <c r="L20" i="6"/>
  <c r="L24" i="6"/>
  <c r="C26" i="6"/>
  <c r="L28" i="6"/>
  <c r="K7" i="3"/>
  <c r="L7" i="3"/>
  <c r="L31" i="6"/>
  <c r="L32" i="6"/>
  <c r="L33" i="6"/>
  <c r="L13" i="5"/>
  <c r="L34" i="6"/>
  <c r="L35" i="6"/>
  <c r="L36" i="6"/>
  <c r="L45" i="6"/>
  <c r="C8" i="5"/>
  <c r="D8" i="5"/>
  <c r="E8" i="5"/>
  <c r="F8" i="5"/>
  <c r="F6" i="5"/>
  <c r="G8" i="5"/>
  <c r="H8" i="5"/>
  <c r="I8" i="5"/>
  <c r="J8" i="5"/>
  <c r="K8" i="5"/>
  <c r="L8" i="5"/>
  <c r="C9" i="5"/>
  <c r="D9" i="5"/>
  <c r="E9" i="5"/>
  <c r="E10" i="27"/>
  <c r="F9" i="5"/>
  <c r="G9" i="5"/>
  <c r="H9" i="5"/>
  <c r="I9" i="5"/>
  <c r="J9" i="5"/>
  <c r="K9" i="5"/>
  <c r="C11" i="5"/>
  <c r="D11" i="5"/>
  <c r="E11" i="5"/>
  <c r="E12" i="27"/>
  <c r="F11" i="5"/>
  <c r="G11" i="5"/>
  <c r="H11" i="5"/>
  <c r="I11" i="5"/>
  <c r="J11" i="5"/>
  <c r="K11" i="5"/>
  <c r="C13" i="5"/>
  <c r="D13" i="5"/>
  <c r="E13" i="5"/>
  <c r="F13" i="5"/>
  <c r="G13" i="5"/>
  <c r="H13" i="5"/>
  <c r="I13" i="5"/>
  <c r="J13" i="5"/>
  <c r="K13" i="5"/>
  <c r="C16" i="5"/>
  <c r="D16" i="5"/>
  <c r="E16" i="5"/>
  <c r="F16" i="5"/>
  <c r="G16" i="5"/>
  <c r="H16" i="5"/>
  <c r="I16" i="5"/>
  <c r="J16" i="5"/>
  <c r="K16" i="5"/>
  <c r="L16" i="5"/>
  <c r="C18" i="5"/>
  <c r="D18" i="5"/>
  <c r="E18" i="5"/>
  <c r="F18" i="5"/>
  <c r="G18" i="5"/>
  <c r="H18" i="5"/>
  <c r="I18" i="5"/>
  <c r="J18" i="5"/>
  <c r="K18" i="5"/>
  <c r="C23" i="5"/>
  <c r="D23" i="5"/>
  <c r="E23" i="5"/>
  <c r="F23" i="5"/>
  <c r="G23" i="5"/>
  <c r="H23" i="5"/>
  <c r="I23" i="5"/>
  <c r="J23" i="5"/>
  <c r="K23" i="5"/>
  <c r="AL54" i="7"/>
  <c r="L23" i="5"/>
  <c r="B3" i="25"/>
  <c r="C7" i="25"/>
  <c r="D7" i="25"/>
  <c r="E7" i="25"/>
  <c r="F7" i="25"/>
  <c r="G7" i="25"/>
  <c r="H7" i="25"/>
  <c r="I7" i="25"/>
  <c r="J7" i="25"/>
  <c r="K7" i="25"/>
  <c r="B10" i="25"/>
  <c r="B11" i="25"/>
  <c r="B12" i="25"/>
  <c r="B13" i="25"/>
  <c r="B16" i="25"/>
  <c r="B22" i="25"/>
  <c r="B23" i="25"/>
  <c r="B24" i="25"/>
  <c r="B25" i="25"/>
  <c r="B3" i="24"/>
  <c r="C7" i="24"/>
  <c r="D7" i="24"/>
  <c r="E7" i="24"/>
  <c r="F7" i="24"/>
  <c r="G7" i="24"/>
  <c r="H7" i="24"/>
  <c r="I7" i="24"/>
  <c r="J7" i="24"/>
  <c r="K7" i="24"/>
  <c r="M8" i="24"/>
  <c r="B10" i="24"/>
  <c r="M10" i="24"/>
  <c r="B11" i="24"/>
  <c r="M11" i="24"/>
  <c r="B12" i="24"/>
  <c r="M12" i="24"/>
  <c r="B13" i="24"/>
  <c r="M13" i="24"/>
  <c r="M14" i="24"/>
  <c r="B16" i="24"/>
  <c r="M16" i="24"/>
  <c r="M17" i="24"/>
  <c r="M18" i="24"/>
  <c r="M20" i="24"/>
  <c r="B22" i="24"/>
  <c r="M22" i="24"/>
  <c r="B23" i="24"/>
  <c r="M23" i="24"/>
  <c r="B24" i="24"/>
  <c r="M24" i="24"/>
  <c r="B25" i="24"/>
  <c r="M25" i="24"/>
  <c r="M26" i="24"/>
  <c r="M28" i="24"/>
  <c r="M30" i="24"/>
  <c r="M32" i="24"/>
  <c r="M33" i="24"/>
  <c r="M34" i="24"/>
  <c r="M36" i="24"/>
  <c r="M38" i="24"/>
  <c r="M40" i="24"/>
  <c r="B3" i="23"/>
  <c r="C7" i="23"/>
  <c r="D7" i="23"/>
  <c r="E7" i="23"/>
  <c r="F7" i="23"/>
  <c r="G7" i="23"/>
  <c r="H7" i="23"/>
  <c r="I7" i="23"/>
  <c r="J7" i="23"/>
  <c r="K7" i="23"/>
  <c r="M8" i="23"/>
  <c r="B10" i="23"/>
  <c r="M10" i="23"/>
  <c r="B11" i="23"/>
  <c r="M11" i="23"/>
  <c r="B12" i="23"/>
  <c r="M12" i="23"/>
  <c r="B13" i="23"/>
  <c r="M13" i="23"/>
  <c r="B16" i="23"/>
  <c r="M16" i="23"/>
  <c r="B17" i="23"/>
  <c r="M17" i="23"/>
  <c r="B22" i="23"/>
  <c r="M22" i="23"/>
  <c r="B23" i="23"/>
  <c r="M23" i="23"/>
  <c r="B24" i="23"/>
  <c r="M24" i="23"/>
  <c r="B25" i="23"/>
  <c r="M25" i="23"/>
  <c r="M28" i="23"/>
  <c r="C30" i="23"/>
  <c r="D30" i="23"/>
  <c r="E30" i="23"/>
  <c r="E30" i="25"/>
  <c r="F30" i="23"/>
  <c r="G30" i="23"/>
  <c r="H30" i="23"/>
  <c r="I30" i="23"/>
  <c r="I30" i="25"/>
  <c r="J30" i="23"/>
  <c r="L30" i="23"/>
  <c r="M30" i="23"/>
  <c r="M32" i="23"/>
  <c r="M33" i="23"/>
  <c r="B38" i="23"/>
  <c r="M40" i="23"/>
  <c r="H19" i="27"/>
  <c r="I12" i="27"/>
  <c r="D19" i="27"/>
  <c r="I10" i="27"/>
  <c r="G12" i="27"/>
  <c r="F19" i="27"/>
  <c r="J10" i="27"/>
  <c r="F10" i="27"/>
  <c r="L6" i="5"/>
  <c r="D10" i="5"/>
  <c r="D14" i="5"/>
  <c r="J17" i="27"/>
  <c r="F17" i="27"/>
  <c r="K10" i="27"/>
  <c r="G10" i="27"/>
  <c r="C10" i="5"/>
  <c r="C11" i="27"/>
  <c r="H17" i="27"/>
  <c r="D17" i="27"/>
  <c r="H10" i="27"/>
  <c r="D10" i="27"/>
  <c r="J13" i="3"/>
  <c r="J14" i="3"/>
  <c r="J15" i="3"/>
  <c r="J14" i="27"/>
  <c r="H14" i="27"/>
  <c r="F14" i="27"/>
  <c r="D14" i="27"/>
  <c r="I13" i="3"/>
  <c r="I14" i="3"/>
  <c r="K9" i="3"/>
  <c r="K35" i="3"/>
  <c r="L10" i="3"/>
  <c r="L9" i="3"/>
  <c r="I19" i="27"/>
  <c r="G19" i="27"/>
  <c r="K17" i="27"/>
  <c r="I17" i="27"/>
  <c r="G17" i="27"/>
  <c r="E17" i="27"/>
  <c r="K14" i="27"/>
  <c r="I14" i="27"/>
  <c r="G14" i="27"/>
  <c r="E14" i="27"/>
  <c r="L37" i="6"/>
  <c r="M37" i="6"/>
  <c r="L11" i="5"/>
  <c r="K19" i="27"/>
  <c r="J24" i="3"/>
  <c r="D30" i="24"/>
  <c r="H10" i="5"/>
  <c r="H14" i="5"/>
  <c r="H17" i="5"/>
  <c r="J19" i="27"/>
  <c r="I24" i="3"/>
  <c r="J10" i="5"/>
  <c r="J10" i="26"/>
  <c r="F10" i="5"/>
  <c r="G25" i="29"/>
  <c r="H12" i="27"/>
  <c r="F12" i="27"/>
  <c r="D12" i="27"/>
  <c r="K10" i="5"/>
  <c r="D10" i="26"/>
  <c r="F10" i="26"/>
  <c r="D23" i="26"/>
  <c r="F23" i="26"/>
  <c r="H23" i="26"/>
  <c r="J23" i="26"/>
  <c r="L23" i="26"/>
  <c r="C23" i="26"/>
  <c r="E23" i="26"/>
  <c r="G23" i="26"/>
  <c r="I23" i="26"/>
  <c r="K23" i="26"/>
  <c r="C14" i="27"/>
  <c r="D13" i="26"/>
  <c r="F13" i="26"/>
  <c r="H13" i="26"/>
  <c r="J13" i="26"/>
  <c r="L13" i="26"/>
  <c r="C13" i="26"/>
  <c r="E13" i="26"/>
  <c r="G13" i="26"/>
  <c r="I13" i="26"/>
  <c r="K13" i="26"/>
  <c r="J12" i="27"/>
  <c r="J8" i="27"/>
  <c r="J9" i="27"/>
  <c r="J13" i="27"/>
  <c r="J16" i="27"/>
  <c r="H8" i="27"/>
  <c r="H9" i="27"/>
  <c r="H13" i="27"/>
  <c r="H16" i="27"/>
  <c r="F8" i="27"/>
  <c r="F9" i="27"/>
  <c r="F13" i="27"/>
  <c r="F16" i="27"/>
  <c r="D8" i="27"/>
  <c r="D9" i="27"/>
  <c r="D13" i="27"/>
  <c r="D16" i="27"/>
  <c r="K10" i="3"/>
  <c r="M28" i="29"/>
  <c r="L30" i="24"/>
  <c r="J30" i="24"/>
  <c r="H30" i="24"/>
  <c r="F30" i="24"/>
  <c r="G30" i="25"/>
  <c r="L16" i="26"/>
  <c r="I10" i="5"/>
  <c r="G10" i="5"/>
  <c r="E10" i="5"/>
  <c r="E19" i="27"/>
  <c r="F18" i="26"/>
  <c r="H18" i="26"/>
  <c r="J18" i="26"/>
  <c r="E18" i="26"/>
  <c r="G18" i="26"/>
  <c r="I18" i="26"/>
  <c r="K18" i="26"/>
  <c r="C19" i="27"/>
  <c r="D18" i="26"/>
  <c r="C18" i="26"/>
  <c r="C17" i="27"/>
  <c r="D16" i="26"/>
  <c r="F16" i="26"/>
  <c r="H16" i="26"/>
  <c r="J16" i="26"/>
  <c r="C16" i="26"/>
  <c r="E16" i="26"/>
  <c r="G16" i="26"/>
  <c r="I16" i="26"/>
  <c r="K16" i="26"/>
  <c r="K12" i="27"/>
  <c r="C12" i="27"/>
  <c r="C11" i="26"/>
  <c r="E11" i="26"/>
  <c r="G11" i="26"/>
  <c r="I11" i="26"/>
  <c r="K11" i="26"/>
  <c r="D11" i="26"/>
  <c r="F11" i="26"/>
  <c r="H11" i="26"/>
  <c r="J11" i="26"/>
  <c r="H11" i="27"/>
  <c r="D11" i="27"/>
  <c r="E25" i="29"/>
  <c r="C9" i="26"/>
  <c r="E9" i="26"/>
  <c r="G9" i="26"/>
  <c r="I9" i="26"/>
  <c r="K9" i="26"/>
  <c r="C10" i="27"/>
  <c r="D9" i="26"/>
  <c r="F9" i="26"/>
  <c r="H9" i="26"/>
  <c r="J9" i="26"/>
  <c r="K6" i="5"/>
  <c r="K8" i="27"/>
  <c r="K9" i="27"/>
  <c r="K13" i="27"/>
  <c r="K16" i="27"/>
  <c r="I6" i="5"/>
  <c r="I8" i="27"/>
  <c r="I9" i="27"/>
  <c r="I13" i="27"/>
  <c r="I16" i="27"/>
  <c r="G6" i="5"/>
  <c r="G8" i="27"/>
  <c r="G9" i="27"/>
  <c r="G13" i="27"/>
  <c r="G16" i="27"/>
  <c r="E6" i="5"/>
  <c r="E8" i="27"/>
  <c r="E9" i="27"/>
  <c r="E13" i="27"/>
  <c r="E16" i="27"/>
  <c r="D8" i="26"/>
  <c r="F8" i="26"/>
  <c r="H8" i="26"/>
  <c r="J8" i="26"/>
  <c r="C8" i="27"/>
  <c r="C9" i="27"/>
  <c r="C13" i="27"/>
  <c r="C16" i="27"/>
  <c r="C8" i="26"/>
  <c r="E8" i="26"/>
  <c r="G8" i="26"/>
  <c r="I8" i="26"/>
  <c r="K8" i="26"/>
  <c r="I30" i="24"/>
  <c r="G30" i="24"/>
  <c r="E30" i="24"/>
  <c r="C30" i="24"/>
  <c r="L30" i="25"/>
  <c r="J30" i="25"/>
  <c r="H30" i="25"/>
  <c r="F30" i="25"/>
  <c r="D30" i="25"/>
  <c r="M27" i="29"/>
  <c r="E28" i="22"/>
  <c r="L8" i="27"/>
  <c r="L13" i="27"/>
  <c r="L14" i="27"/>
  <c r="L16" i="27"/>
  <c r="L17" i="27"/>
  <c r="L8" i="26"/>
  <c r="L9" i="27"/>
  <c r="I28" i="22"/>
  <c r="L9" i="5"/>
  <c r="L10" i="5"/>
  <c r="J6" i="5"/>
  <c r="H6" i="5"/>
  <c r="D6" i="5"/>
  <c r="P33" i="10"/>
  <c r="L55" i="10"/>
  <c r="L67" i="10"/>
  <c r="C80" i="10"/>
  <c r="D80" i="10"/>
  <c r="E80" i="10"/>
  <c r="F80" i="10"/>
  <c r="G80" i="10"/>
  <c r="H80" i="10"/>
  <c r="I80" i="10"/>
  <c r="J80" i="10"/>
  <c r="K80" i="10"/>
  <c r="L80" i="10"/>
  <c r="C85" i="10"/>
  <c r="C8" i="9"/>
  <c r="C10" i="23"/>
  <c r="D8" i="9"/>
  <c r="D10" i="23"/>
  <c r="E8" i="9"/>
  <c r="E10" i="23"/>
  <c r="F8" i="9"/>
  <c r="F10" i="23"/>
  <c r="G8" i="9"/>
  <c r="G10" i="23"/>
  <c r="H8" i="9"/>
  <c r="H10" i="23"/>
  <c r="I8" i="9"/>
  <c r="I10" i="23"/>
  <c r="J8" i="9"/>
  <c r="K8" i="9"/>
  <c r="K14" i="9"/>
  <c r="L8" i="9"/>
  <c r="K7" i="8"/>
  <c r="M8" i="9"/>
  <c r="M10" i="25"/>
  <c r="C9" i="9"/>
  <c r="C11" i="23"/>
  <c r="D9" i="9"/>
  <c r="E9" i="9"/>
  <c r="E11" i="23"/>
  <c r="F9" i="9"/>
  <c r="G9" i="9"/>
  <c r="G11" i="23"/>
  <c r="H9" i="9"/>
  <c r="I9" i="9"/>
  <c r="I11" i="23"/>
  <c r="J9" i="9"/>
  <c r="I8" i="8"/>
  <c r="K9" i="9"/>
  <c r="L9" i="9"/>
  <c r="K8" i="8"/>
  <c r="M9" i="9"/>
  <c r="M11" i="25"/>
  <c r="C10" i="9"/>
  <c r="C12" i="23"/>
  <c r="D10" i="9"/>
  <c r="D12" i="23"/>
  <c r="E10" i="29"/>
  <c r="E10" i="9"/>
  <c r="E12" i="23"/>
  <c r="F10" i="29"/>
  <c r="F10" i="9"/>
  <c r="F12" i="23"/>
  <c r="G10" i="29"/>
  <c r="G10" i="9"/>
  <c r="G12" i="23"/>
  <c r="H10" i="29"/>
  <c r="H10" i="9"/>
  <c r="H12" i="23"/>
  <c r="I10" i="29"/>
  <c r="I10" i="9"/>
  <c r="I12" i="23"/>
  <c r="J10" i="29"/>
  <c r="J10" i="9"/>
  <c r="K10" i="9"/>
  <c r="L10" i="9"/>
  <c r="M10" i="9"/>
  <c r="M12" i="25"/>
  <c r="C11" i="9"/>
  <c r="C13" i="23"/>
  <c r="D11" i="9"/>
  <c r="D13" i="23"/>
  <c r="D8" i="23"/>
  <c r="D8" i="25"/>
  <c r="E11" i="9"/>
  <c r="E13" i="23"/>
  <c r="E8" i="23"/>
  <c r="E8" i="25"/>
  <c r="F11" i="9"/>
  <c r="F13" i="23"/>
  <c r="F8" i="23"/>
  <c r="F8" i="25"/>
  <c r="G11" i="9"/>
  <c r="G13" i="23"/>
  <c r="G8" i="23"/>
  <c r="G8" i="25"/>
  <c r="H11" i="9"/>
  <c r="H13" i="23"/>
  <c r="H8" i="23"/>
  <c r="H8" i="25"/>
  <c r="I11" i="9"/>
  <c r="I13" i="23"/>
  <c r="I8" i="23"/>
  <c r="I8" i="25"/>
  <c r="J11" i="9"/>
  <c r="K11" i="9"/>
  <c r="L11" i="9"/>
  <c r="M11" i="9"/>
  <c r="M13" i="25"/>
  <c r="M12" i="9"/>
  <c r="G14" i="9"/>
  <c r="G22" i="23"/>
  <c r="M14" i="9"/>
  <c r="M22" i="25"/>
  <c r="C15" i="9"/>
  <c r="C23" i="23"/>
  <c r="D15" i="9"/>
  <c r="D23" i="23"/>
  <c r="E15" i="9"/>
  <c r="E23" i="23"/>
  <c r="F15" i="9"/>
  <c r="F23" i="23"/>
  <c r="G15" i="9"/>
  <c r="G23" i="23"/>
  <c r="H15" i="9"/>
  <c r="H23" i="23"/>
  <c r="I15" i="9"/>
  <c r="I23" i="23"/>
  <c r="J15" i="9"/>
  <c r="K15" i="9"/>
  <c r="L15" i="9"/>
  <c r="M15" i="9"/>
  <c r="M23" i="25"/>
  <c r="C16" i="9"/>
  <c r="C24" i="23"/>
  <c r="D16" i="9"/>
  <c r="D24" i="23"/>
  <c r="E16" i="9"/>
  <c r="E24" i="23"/>
  <c r="F16" i="9"/>
  <c r="F24" i="23"/>
  <c r="G16" i="9"/>
  <c r="G24" i="23"/>
  <c r="H16" i="9"/>
  <c r="H24" i="23"/>
  <c r="I16" i="9"/>
  <c r="I24" i="23"/>
  <c r="J16" i="9"/>
  <c r="K16" i="9"/>
  <c r="L16" i="9"/>
  <c r="M16" i="9"/>
  <c r="M24" i="25"/>
  <c r="C17" i="9"/>
  <c r="D17" i="9"/>
  <c r="D25" i="23"/>
  <c r="E17" i="9"/>
  <c r="F17" i="9"/>
  <c r="F25" i="23"/>
  <c r="G17" i="9"/>
  <c r="H17" i="9"/>
  <c r="H25" i="23"/>
  <c r="I17" i="9"/>
  <c r="J17" i="9"/>
  <c r="K17" i="9"/>
  <c r="J16" i="8"/>
  <c r="L17" i="9"/>
  <c r="M17" i="9"/>
  <c r="M25" i="25"/>
  <c r="M18" i="9"/>
  <c r="M20" i="9"/>
  <c r="C22" i="9"/>
  <c r="C16" i="23"/>
  <c r="D22" i="9"/>
  <c r="D16" i="23"/>
  <c r="E22" i="9"/>
  <c r="E16" i="23"/>
  <c r="F22" i="9"/>
  <c r="F16" i="23"/>
  <c r="G22" i="9"/>
  <c r="G16" i="23"/>
  <c r="H22" i="9"/>
  <c r="H16" i="23"/>
  <c r="I22" i="9"/>
  <c r="I16" i="23"/>
  <c r="J22" i="9"/>
  <c r="K22" i="9"/>
  <c r="L22" i="9"/>
  <c r="M22" i="9"/>
  <c r="M16" i="25"/>
  <c r="C23" i="9"/>
  <c r="D23" i="9"/>
  <c r="E23" i="9"/>
  <c r="F23" i="9"/>
  <c r="G23" i="9"/>
  <c r="H23" i="9"/>
  <c r="I23" i="9"/>
  <c r="J23" i="9"/>
  <c r="I20" i="8"/>
  <c r="K23" i="9"/>
  <c r="J20" i="8"/>
  <c r="L23" i="9"/>
  <c r="K20" i="8"/>
  <c r="M23" i="9"/>
  <c r="C24" i="9"/>
  <c r="D24" i="9"/>
  <c r="E24" i="9"/>
  <c r="F24" i="9"/>
  <c r="G24" i="9"/>
  <c r="H24" i="9"/>
  <c r="I24" i="9"/>
  <c r="J24" i="9"/>
  <c r="K24" i="9"/>
  <c r="L24" i="9"/>
  <c r="M24" i="9"/>
  <c r="C25" i="9"/>
  <c r="D25" i="9"/>
  <c r="E25" i="9"/>
  <c r="F25" i="9"/>
  <c r="G25" i="9"/>
  <c r="H25" i="9"/>
  <c r="I25" i="9"/>
  <c r="J25" i="9"/>
  <c r="L25" i="9"/>
  <c r="M25" i="9"/>
  <c r="M26" i="9"/>
  <c r="C28" i="9"/>
  <c r="C32" i="23"/>
  <c r="D28" i="9"/>
  <c r="D32" i="23"/>
  <c r="E28" i="9"/>
  <c r="E32" i="23"/>
  <c r="F28" i="9"/>
  <c r="F32" i="23"/>
  <c r="G28" i="9"/>
  <c r="G32" i="23"/>
  <c r="H28" i="9"/>
  <c r="H32" i="23"/>
  <c r="I28" i="9"/>
  <c r="I32" i="23"/>
  <c r="J28" i="9"/>
  <c r="K28" i="9"/>
  <c r="L28" i="9"/>
  <c r="M28" i="9"/>
  <c r="C29" i="9"/>
  <c r="C33" i="23"/>
  <c r="D29" i="9"/>
  <c r="E29" i="9"/>
  <c r="E33" i="23"/>
  <c r="E33" i="25"/>
  <c r="F29" i="9"/>
  <c r="G29" i="9"/>
  <c r="G33" i="23"/>
  <c r="G33" i="25"/>
  <c r="H29" i="9"/>
  <c r="I29" i="9"/>
  <c r="I33" i="23"/>
  <c r="I33" i="25"/>
  <c r="J29" i="9"/>
  <c r="K29" i="9"/>
  <c r="K33" i="23"/>
  <c r="K33" i="25"/>
  <c r="L29" i="9"/>
  <c r="M29" i="9"/>
  <c r="M30" i="9"/>
  <c r="C32" i="9"/>
  <c r="C38" i="23"/>
  <c r="D32" i="9"/>
  <c r="D38" i="23"/>
  <c r="E32" i="9"/>
  <c r="E38" i="23"/>
  <c r="F32" i="9"/>
  <c r="F38" i="23"/>
  <c r="G32" i="9"/>
  <c r="G38" i="23"/>
  <c r="H32" i="9"/>
  <c r="H38" i="23"/>
  <c r="I32" i="9"/>
  <c r="I38" i="23"/>
  <c r="J32" i="9"/>
  <c r="K32" i="9"/>
  <c r="L32" i="9"/>
  <c r="M32" i="9"/>
  <c r="M34" i="9"/>
  <c r="C37" i="9"/>
  <c r="D37" i="9"/>
  <c r="E37" i="9"/>
  <c r="F37" i="9"/>
  <c r="G37" i="9"/>
  <c r="H37" i="9"/>
  <c r="I37" i="9"/>
  <c r="J37" i="9"/>
  <c r="K37" i="9"/>
  <c r="I10" i="17"/>
  <c r="C38" i="9"/>
  <c r="D38" i="9"/>
  <c r="E38" i="9"/>
  <c r="F38" i="9"/>
  <c r="G38" i="9"/>
  <c r="H38" i="9"/>
  <c r="I38" i="9"/>
  <c r="J38" i="9"/>
  <c r="K38" i="9"/>
  <c r="G7" i="19"/>
  <c r="G8" i="19"/>
  <c r="G9" i="19"/>
  <c r="H7" i="19"/>
  <c r="I7" i="19"/>
  <c r="S7" i="19"/>
  <c r="C8" i="19"/>
  <c r="I8" i="19"/>
  <c r="S8" i="19"/>
  <c r="B9" i="19"/>
  <c r="B14" i="19"/>
  <c r="B15" i="19"/>
  <c r="I9" i="19"/>
  <c r="T9" i="19"/>
  <c r="T14" i="19"/>
  <c r="C10" i="19"/>
  <c r="E10" i="19"/>
  <c r="I10" i="19"/>
  <c r="S10" i="19"/>
  <c r="C11" i="19"/>
  <c r="I11" i="19"/>
  <c r="H12" i="19"/>
  <c r="I12" i="19"/>
  <c r="S12" i="19"/>
  <c r="I13" i="19"/>
  <c r="I14" i="19"/>
  <c r="N14" i="19"/>
  <c r="N15" i="19"/>
  <c r="N16" i="19"/>
  <c r="N18" i="19"/>
  <c r="O14" i="19"/>
  <c r="P14" i="19"/>
  <c r="P15" i="19"/>
  <c r="P16" i="19"/>
  <c r="Q14" i="19"/>
  <c r="Q15" i="19"/>
  <c r="Q16" i="19"/>
  <c r="I15" i="19"/>
  <c r="O15" i="19"/>
  <c r="O16" i="19"/>
  <c r="I16" i="19"/>
  <c r="I17" i="19"/>
  <c r="N19" i="19"/>
  <c r="I20" i="19"/>
  <c r="I21" i="19"/>
  <c r="C24" i="19"/>
  <c r="I24" i="19"/>
  <c r="S24" i="19"/>
  <c r="C25" i="19"/>
  <c r="E25" i="19"/>
  <c r="G25" i="19"/>
  <c r="I25" i="19"/>
  <c r="S25" i="19"/>
  <c r="C26" i="19"/>
  <c r="I26" i="19"/>
  <c r="C27" i="19"/>
  <c r="H27" i="19"/>
  <c r="I27" i="19"/>
  <c r="I28" i="19"/>
  <c r="I29" i="19"/>
  <c r="N29" i="19"/>
  <c r="O29" i="19"/>
  <c r="P29" i="19"/>
  <c r="Q29" i="19"/>
  <c r="T29" i="19"/>
  <c r="G30" i="19"/>
  <c r="H30" i="19"/>
  <c r="I30" i="19"/>
  <c r="S30" i="19"/>
  <c r="C31" i="19"/>
  <c r="E31" i="19"/>
  <c r="I31" i="19"/>
  <c r="C32" i="19"/>
  <c r="E32" i="19"/>
  <c r="G32" i="19"/>
  <c r="I32" i="19"/>
  <c r="I33" i="19"/>
  <c r="N33" i="19"/>
  <c r="O33" i="19"/>
  <c r="P33" i="19"/>
  <c r="Q33" i="19"/>
  <c r="Q35" i="19"/>
  <c r="S33" i="19"/>
  <c r="T33" i="19"/>
  <c r="I35" i="19"/>
  <c r="C37" i="19"/>
  <c r="E37" i="19"/>
  <c r="I37" i="19"/>
  <c r="C38" i="19"/>
  <c r="E38" i="19"/>
  <c r="I38" i="19"/>
  <c r="I39" i="19"/>
  <c r="N39" i="19"/>
  <c r="O39" i="19"/>
  <c r="P39" i="19"/>
  <c r="Q39" i="19"/>
  <c r="S39" i="19"/>
  <c r="T39" i="19"/>
  <c r="I41" i="19"/>
  <c r="I43" i="19"/>
  <c r="H45" i="19"/>
  <c r="I45" i="19"/>
  <c r="S45" i="19"/>
  <c r="S47" i="19"/>
  <c r="S49" i="19"/>
  <c r="S53" i="19"/>
  <c r="C46" i="19"/>
  <c r="E46" i="19"/>
  <c r="I46" i="19"/>
  <c r="I47" i="19"/>
  <c r="N47" i="19"/>
  <c r="O47" i="19"/>
  <c r="P47" i="19"/>
  <c r="Q47" i="19"/>
  <c r="Q49" i="19"/>
  <c r="Q53" i="19"/>
  <c r="T47" i="19"/>
  <c r="T49" i="19"/>
  <c r="T53" i="19"/>
  <c r="I49" i="19"/>
  <c r="I50" i="19"/>
  <c r="O50" i="19"/>
  <c r="O19" i="19"/>
  <c r="I51" i="19"/>
  <c r="I53" i="19"/>
  <c r="N53" i="19"/>
  <c r="O53" i="19"/>
  <c r="P53" i="19"/>
  <c r="AB71" i="19"/>
  <c r="AB72" i="19"/>
  <c r="F11" i="27"/>
  <c r="D25" i="29"/>
  <c r="C14" i="5"/>
  <c r="K10" i="26"/>
  <c r="H31" i="19"/>
  <c r="H46" i="19"/>
  <c r="C10" i="26"/>
  <c r="G37" i="19"/>
  <c r="H15" i="27"/>
  <c r="D15" i="27"/>
  <c r="D17" i="5"/>
  <c r="D14" i="26"/>
  <c r="O35" i="19"/>
  <c r="F14" i="5"/>
  <c r="F14" i="26"/>
  <c r="T35" i="19"/>
  <c r="T41" i="19"/>
  <c r="C14" i="9"/>
  <c r="C22" i="23"/>
  <c r="C22" i="24"/>
  <c r="K25" i="29"/>
  <c r="L31" i="11"/>
  <c r="I11" i="12"/>
  <c r="D26" i="9"/>
  <c r="I15" i="3"/>
  <c r="L11" i="3"/>
  <c r="I12" i="9"/>
  <c r="I27" i="3"/>
  <c r="K38" i="23"/>
  <c r="K38" i="24"/>
  <c r="J29" i="8"/>
  <c r="L32" i="23"/>
  <c r="K25" i="8"/>
  <c r="J32" i="23"/>
  <c r="J32" i="24"/>
  <c r="I25" i="8"/>
  <c r="K16" i="23"/>
  <c r="K16" i="24"/>
  <c r="J19" i="8"/>
  <c r="L25" i="23"/>
  <c r="K16" i="8"/>
  <c r="J25" i="23"/>
  <c r="I16" i="8"/>
  <c r="K24" i="23"/>
  <c r="K24" i="24"/>
  <c r="J15" i="8"/>
  <c r="L23" i="23"/>
  <c r="L23" i="24"/>
  <c r="K14" i="8"/>
  <c r="J23" i="23"/>
  <c r="I14" i="8"/>
  <c r="K13" i="23"/>
  <c r="K8" i="23"/>
  <c r="K8" i="25"/>
  <c r="J10" i="8"/>
  <c r="N6" i="2"/>
  <c r="L12" i="23"/>
  <c r="M10" i="29"/>
  <c r="K9" i="8"/>
  <c r="O3" i="2"/>
  <c r="J12" i="23"/>
  <c r="K10" i="29"/>
  <c r="I9" i="8"/>
  <c r="I12" i="12"/>
  <c r="K11" i="23"/>
  <c r="J8" i="8"/>
  <c r="L10" i="23"/>
  <c r="L10" i="24"/>
  <c r="J10" i="23"/>
  <c r="J10" i="24"/>
  <c r="I7" i="8"/>
  <c r="K14" i="5"/>
  <c r="K14" i="26"/>
  <c r="J27" i="3"/>
  <c r="L38" i="23"/>
  <c r="K29" i="8"/>
  <c r="D29" i="2"/>
  <c r="J38" i="23"/>
  <c r="J38" i="24"/>
  <c r="I29" i="8"/>
  <c r="K32" i="23"/>
  <c r="K32" i="24"/>
  <c r="J25" i="8"/>
  <c r="L16" i="23"/>
  <c r="L16" i="24"/>
  <c r="K19" i="8"/>
  <c r="J16" i="23"/>
  <c r="I19" i="8"/>
  <c r="L24" i="23"/>
  <c r="K15" i="8"/>
  <c r="J24" i="23"/>
  <c r="J24" i="24"/>
  <c r="I15" i="8"/>
  <c r="K23" i="23"/>
  <c r="K23" i="24"/>
  <c r="J14" i="8"/>
  <c r="K22" i="23"/>
  <c r="J13" i="8"/>
  <c r="J13" i="12"/>
  <c r="L13" i="23"/>
  <c r="L8" i="23"/>
  <c r="L8" i="25"/>
  <c r="K10" i="8"/>
  <c r="O6" i="2"/>
  <c r="J13" i="23"/>
  <c r="J8" i="23"/>
  <c r="J8" i="25"/>
  <c r="I10" i="8"/>
  <c r="M6" i="2"/>
  <c r="K12" i="23"/>
  <c r="L10" i="29"/>
  <c r="J9" i="8"/>
  <c r="K10" i="23"/>
  <c r="J7" i="8"/>
  <c r="K13" i="3"/>
  <c r="G13" i="19"/>
  <c r="H10" i="19"/>
  <c r="H8" i="19"/>
  <c r="H9" i="19"/>
  <c r="K21" i="8"/>
  <c r="I21" i="8"/>
  <c r="H26" i="9"/>
  <c r="K11" i="3"/>
  <c r="K36" i="3"/>
  <c r="K37" i="3"/>
  <c r="K62" i="10"/>
  <c r="K30" i="23"/>
  <c r="S29" i="19"/>
  <c r="S35" i="19"/>
  <c r="S41" i="19"/>
  <c r="I14" i="9"/>
  <c r="I22" i="23"/>
  <c r="E14" i="9"/>
  <c r="E22" i="23"/>
  <c r="I25" i="29"/>
  <c r="H14" i="26"/>
  <c r="K11" i="27"/>
  <c r="H10" i="26"/>
  <c r="L14" i="5"/>
  <c r="L17" i="5"/>
  <c r="J26" i="9"/>
  <c r="F26" i="9"/>
  <c r="F30" i="9"/>
  <c r="F34" i="9"/>
  <c r="E12" i="9"/>
  <c r="G46" i="19"/>
  <c r="G47" i="19"/>
  <c r="G49" i="19"/>
  <c r="H32" i="19"/>
  <c r="G31" i="19"/>
  <c r="G27" i="19"/>
  <c r="H25" i="19"/>
  <c r="S13" i="19"/>
  <c r="H13" i="19"/>
  <c r="G11" i="19"/>
  <c r="H11" i="19"/>
  <c r="G10" i="19"/>
  <c r="G16" i="19"/>
  <c r="G14" i="19"/>
  <c r="G15" i="19"/>
  <c r="G17" i="19"/>
  <c r="G21" i="19"/>
  <c r="S9" i="19"/>
  <c r="S14" i="19"/>
  <c r="S15" i="19"/>
  <c r="S17" i="19"/>
  <c r="S19" i="19"/>
  <c r="E30" i="9"/>
  <c r="C26" i="9"/>
  <c r="L26" i="9"/>
  <c r="I26" i="9"/>
  <c r="I30" i="9"/>
  <c r="I34" i="9"/>
  <c r="J17" i="29"/>
  <c r="G26" i="9"/>
  <c r="E26" i="9"/>
  <c r="E34" i="9"/>
  <c r="F17" i="29"/>
  <c r="L14" i="9"/>
  <c r="K13" i="8"/>
  <c r="J14" i="9"/>
  <c r="H14" i="9"/>
  <c r="F14" i="9"/>
  <c r="D14" i="9"/>
  <c r="G12" i="9"/>
  <c r="C12" i="9"/>
  <c r="M29" i="29"/>
  <c r="J11" i="27"/>
  <c r="J14" i="5"/>
  <c r="J14" i="26"/>
  <c r="K12" i="9"/>
  <c r="I17" i="23"/>
  <c r="I18" i="23"/>
  <c r="G17" i="23"/>
  <c r="G18" i="23"/>
  <c r="E17" i="23"/>
  <c r="E18" i="23"/>
  <c r="C17" i="23"/>
  <c r="C17" i="24"/>
  <c r="L25" i="29"/>
  <c r="O41" i="19"/>
  <c r="Q41" i="19"/>
  <c r="C30" i="9"/>
  <c r="L17" i="23"/>
  <c r="J17" i="23"/>
  <c r="H17" i="23"/>
  <c r="H18" i="23"/>
  <c r="F17" i="23"/>
  <c r="F18" i="23"/>
  <c r="D17" i="23"/>
  <c r="D18" i="23"/>
  <c r="T15" i="19"/>
  <c r="T17" i="19"/>
  <c r="K11" i="24"/>
  <c r="G11" i="24"/>
  <c r="C11" i="24"/>
  <c r="I11" i="24"/>
  <c r="E11" i="24"/>
  <c r="C33" i="24"/>
  <c r="E33" i="24"/>
  <c r="G33" i="24"/>
  <c r="I33" i="24"/>
  <c r="K33" i="24"/>
  <c r="C33" i="25"/>
  <c r="D33" i="24"/>
  <c r="F33" i="24"/>
  <c r="H33" i="24"/>
  <c r="J33" i="24"/>
  <c r="L33" i="24"/>
  <c r="D24" i="24"/>
  <c r="F24" i="24"/>
  <c r="H24" i="24"/>
  <c r="L24" i="24"/>
  <c r="C24" i="24"/>
  <c r="E24" i="24"/>
  <c r="G24" i="24"/>
  <c r="I24" i="24"/>
  <c r="D10" i="29"/>
  <c r="C12" i="24"/>
  <c r="E12" i="24"/>
  <c r="G12" i="24"/>
  <c r="I12" i="24"/>
  <c r="D12" i="24"/>
  <c r="F12" i="24"/>
  <c r="H12" i="24"/>
  <c r="J12" i="24"/>
  <c r="J12" i="9"/>
  <c r="J11" i="23"/>
  <c r="J11" i="24"/>
  <c r="H12" i="9"/>
  <c r="H11" i="23"/>
  <c r="H14" i="23"/>
  <c r="F12" i="9"/>
  <c r="F11" i="23"/>
  <c r="F11" i="24"/>
  <c r="D12" i="9"/>
  <c r="D11" i="23"/>
  <c r="D11" i="24"/>
  <c r="C10" i="24"/>
  <c r="E10" i="24"/>
  <c r="G10" i="24"/>
  <c r="I10" i="24"/>
  <c r="K10" i="24"/>
  <c r="D10" i="24"/>
  <c r="F10" i="24"/>
  <c r="H10" i="24"/>
  <c r="H19" i="5"/>
  <c r="H22" i="5"/>
  <c r="H23" i="27"/>
  <c r="H18" i="27"/>
  <c r="E14" i="5"/>
  <c r="F25" i="29"/>
  <c r="E11" i="27"/>
  <c r="I14" i="5"/>
  <c r="J25" i="29"/>
  <c r="I11" i="27"/>
  <c r="J17" i="5"/>
  <c r="C17" i="5"/>
  <c r="C15" i="27"/>
  <c r="C14" i="26"/>
  <c r="O18" i="19"/>
  <c r="L12" i="9"/>
  <c r="C14" i="23"/>
  <c r="L9" i="26"/>
  <c r="I10" i="26"/>
  <c r="E10" i="26"/>
  <c r="D38" i="24"/>
  <c r="F38" i="24"/>
  <c r="H38" i="24"/>
  <c r="L38" i="24"/>
  <c r="C38" i="24"/>
  <c r="E38" i="24"/>
  <c r="G38" i="24"/>
  <c r="I38" i="24"/>
  <c r="L30" i="9"/>
  <c r="L33" i="23"/>
  <c r="J30" i="9"/>
  <c r="J33" i="23"/>
  <c r="J33" i="25"/>
  <c r="H30" i="9"/>
  <c r="H34" i="9"/>
  <c r="H33" i="23"/>
  <c r="H33" i="25"/>
  <c r="F33" i="23"/>
  <c r="F33" i="25"/>
  <c r="D30" i="9"/>
  <c r="D33" i="23"/>
  <c r="D33" i="25"/>
  <c r="D32" i="24"/>
  <c r="F32" i="24"/>
  <c r="H32" i="24"/>
  <c r="L32" i="24"/>
  <c r="C32" i="24"/>
  <c r="E32" i="24"/>
  <c r="G32" i="24"/>
  <c r="I32" i="24"/>
  <c r="C34" i="23"/>
  <c r="D16" i="24"/>
  <c r="F16" i="24"/>
  <c r="H16" i="24"/>
  <c r="J16" i="24"/>
  <c r="C16" i="24"/>
  <c r="E16" i="24"/>
  <c r="G16" i="24"/>
  <c r="I16" i="24"/>
  <c r="K18" i="9"/>
  <c r="K25" i="23"/>
  <c r="I25" i="23"/>
  <c r="G18" i="9"/>
  <c r="G20" i="9"/>
  <c r="G25" i="23"/>
  <c r="G26" i="23"/>
  <c r="H13" i="29"/>
  <c r="E18" i="9"/>
  <c r="E25" i="23"/>
  <c r="C25" i="23"/>
  <c r="D23" i="24"/>
  <c r="F23" i="24"/>
  <c r="H23" i="24"/>
  <c r="J23" i="24"/>
  <c r="C23" i="24"/>
  <c r="E23" i="24"/>
  <c r="G23" i="24"/>
  <c r="I23" i="24"/>
  <c r="C13" i="24"/>
  <c r="E13" i="24"/>
  <c r="G13" i="24"/>
  <c r="I13" i="24"/>
  <c r="D13" i="24"/>
  <c r="F13" i="24"/>
  <c r="H13" i="24"/>
  <c r="L13" i="24"/>
  <c r="D19" i="5"/>
  <c r="D17" i="26"/>
  <c r="H17" i="26"/>
  <c r="J17" i="26"/>
  <c r="D18" i="27"/>
  <c r="G14" i="5"/>
  <c r="H25" i="29"/>
  <c r="G11" i="27"/>
  <c r="F17" i="5"/>
  <c r="F17" i="26"/>
  <c r="F15" i="27"/>
  <c r="H47" i="19"/>
  <c r="H49" i="19"/>
  <c r="H37" i="19"/>
  <c r="P35" i="19"/>
  <c r="P41" i="19"/>
  <c r="N35" i="19"/>
  <c r="N41" i="19"/>
  <c r="G33" i="19"/>
  <c r="K30" i="9"/>
  <c r="G30" i="9"/>
  <c r="I34" i="23"/>
  <c r="I36" i="23"/>
  <c r="I40" i="23"/>
  <c r="G34" i="23"/>
  <c r="G36" i="23"/>
  <c r="G40" i="23"/>
  <c r="E34" i="23"/>
  <c r="E36" i="23"/>
  <c r="E40" i="23"/>
  <c r="J18" i="9"/>
  <c r="C8" i="23"/>
  <c r="E8" i="24"/>
  <c r="L10" i="27"/>
  <c r="L11" i="23"/>
  <c r="L11" i="24"/>
  <c r="G10" i="26"/>
  <c r="M25" i="29"/>
  <c r="L11" i="27"/>
  <c r="L10" i="26"/>
  <c r="L18" i="26"/>
  <c r="L19" i="27"/>
  <c r="L12" i="27"/>
  <c r="L11" i="26"/>
  <c r="E14" i="23"/>
  <c r="I14" i="23"/>
  <c r="G14" i="23"/>
  <c r="K25" i="9"/>
  <c r="J21" i="8"/>
  <c r="H38" i="19"/>
  <c r="G38" i="19"/>
  <c r="P50" i="19"/>
  <c r="B16" i="19"/>
  <c r="K22" i="24"/>
  <c r="I22" i="24"/>
  <c r="G22" i="24"/>
  <c r="L18" i="23"/>
  <c r="I26" i="23"/>
  <c r="J13" i="29"/>
  <c r="K26" i="23"/>
  <c r="L13" i="29"/>
  <c r="E22" i="24"/>
  <c r="K17" i="5"/>
  <c r="K17" i="26"/>
  <c r="G39" i="19"/>
  <c r="K15" i="27"/>
  <c r="C18" i="9"/>
  <c r="C20" i="9"/>
  <c r="C18" i="23"/>
  <c r="D18" i="24"/>
  <c r="K15" i="3"/>
  <c r="K19" i="3"/>
  <c r="K22" i="3"/>
  <c r="K12" i="24"/>
  <c r="K14" i="23"/>
  <c r="E26" i="23"/>
  <c r="F13" i="29"/>
  <c r="J34" i="9"/>
  <c r="H33" i="19"/>
  <c r="H8" i="24"/>
  <c r="J15" i="27"/>
  <c r="G17" i="24"/>
  <c r="H16" i="19"/>
  <c r="H14" i="19"/>
  <c r="H15" i="19"/>
  <c r="H17" i="19"/>
  <c r="H21" i="19"/>
  <c r="D34" i="9"/>
  <c r="E17" i="29"/>
  <c r="I8" i="24"/>
  <c r="C34" i="9"/>
  <c r="D17" i="29"/>
  <c r="G34" i="9"/>
  <c r="L34" i="9"/>
  <c r="H17" i="24"/>
  <c r="L8" i="24"/>
  <c r="D8" i="24"/>
  <c r="K34" i="23"/>
  <c r="K36" i="23"/>
  <c r="K40" i="23"/>
  <c r="L21" i="29"/>
  <c r="J13" i="24"/>
  <c r="K13" i="24"/>
  <c r="E20" i="9"/>
  <c r="I18" i="9"/>
  <c r="I20" i="9"/>
  <c r="K20" i="9"/>
  <c r="L34" i="23"/>
  <c r="L36" i="23"/>
  <c r="L40" i="23"/>
  <c r="M21" i="29"/>
  <c r="L12" i="24"/>
  <c r="I17" i="24"/>
  <c r="E17" i="24"/>
  <c r="L17" i="24"/>
  <c r="J18" i="23"/>
  <c r="M3" i="2"/>
  <c r="S16" i="19"/>
  <c r="S18" i="19"/>
  <c r="M4" i="2"/>
  <c r="O4" i="2"/>
  <c r="O8" i="2"/>
  <c r="N3" i="2"/>
  <c r="N4" i="2"/>
  <c r="D17" i="24"/>
  <c r="K19" i="13"/>
  <c r="L15" i="13"/>
  <c r="K13" i="12"/>
  <c r="I22" i="8"/>
  <c r="K22" i="8"/>
  <c r="K27" i="8"/>
  <c r="D28" i="2"/>
  <c r="J22" i="23"/>
  <c r="I13" i="8"/>
  <c r="I13" i="12"/>
  <c r="I14" i="12"/>
  <c r="I11" i="8"/>
  <c r="K30" i="25"/>
  <c r="K30" i="24"/>
  <c r="K17" i="23"/>
  <c r="K18" i="23"/>
  <c r="D22" i="23"/>
  <c r="D18" i="9"/>
  <c r="D20" i="9"/>
  <c r="H22" i="23"/>
  <c r="H18" i="9"/>
  <c r="H20" i="9"/>
  <c r="L22" i="23"/>
  <c r="L18" i="9"/>
  <c r="L20" i="9"/>
  <c r="F22" i="23"/>
  <c r="F18" i="9"/>
  <c r="F20" i="9"/>
  <c r="F34" i="23"/>
  <c r="F36" i="23"/>
  <c r="F40" i="23"/>
  <c r="G21" i="29"/>
  <c r="H39" i="19"/>
  <c r="T16" i="19"/>
  <c r="T18" i="19"/>
  <c r="J34" i="23"/>
  <c r="J36" i="23"/>
  <c r="J40" i="23"/>
  <c r="K21" i="29"/>
  <c r="J17" i="24"/>
  <c r="F17" i="24"/>
  <c r="T19" i="19"/>
  <c r="T21" i="19"/>
  <c r="K17" i="24"/>
  <c r="I7" i="29"/>
  <c r="I8" i="29"/>
  <c r="H20" i="23"/>
  <c r="J8" i="29"/>
  <c r="J7" i="29"/>
  <c r="C8" i="25"/>
  <c r="F8" i="24"/>
  <c r="G8" i="24"/>
  <c r="J8" i="24"/>
  <c r="K8" i="24"/>
  <c r="C8" i="24"/>
  <c r="G17" i="5"/>
  <c r="H21" i="29"/>
  <c r="G15" i="27"/>
  <c r="G14" i="26"/>
  <c r="E24" i="29"/>
  <c r="E23" i="29"/>
  <c r="D20" i="27"/>
  <c r="D21" i="5"/>
  <c r="D22" i="27"/>
  <c r="C20" i="23"/>
  <c r="C14" i="24"/>
  <c r="H14" i="24"/>
  <c r="K18" i="27"/>
  <c r="I17" i="5"/>
  <c r="J21" i="29"/>
  <c r="I15" i="27"/>
  <c r="I14" i="26"/>
  <c r="C18" i="24"/>
  <c r="E18" i="24"/>
  <c r="G18" i="24"/>
  <c r="I18" i="24"/>
  <c r="J18" i="24"/>
  <c r="L18" i="24"/>
  <c r="H17" i="29"/>
  <c r="D34" i="23"/>
  <c r="D36" i="23"/>
  <c r="D40" i="23"/>
  <c r="E21" i="29"/>
  <c r="H34" i="23"/>
  <c r="H36" i="23"/>
  <c r="H40" i="23"/>
  <c r="I21" i="29"/>
  <c r="D22" i="5"/>
  <c r="D23" i="27"/>
  <c r="F14" i="23"/>
  <c r="J14" i="23"/>
  <c r="H11" i="24"/>
  <c r="H8" i="29"/>
  <c r="H7" i="29"/>
  <c r="F8" i="29"/>
  <c r="F7" i="29"/>
  <c r="F19" i="5"/>
  <c r="F18" i="27"/>
  <c r="D25" i="24"/>
  <c r="F25" i="24"/>
  <c r="H25" i="24"/>
  <c r="J25" i="24"/>
  <c r="L25" i="24"/>
  <c r="C25" i="24"/>
  <c r="E25" i="24"/>
  <c r="G25" i="24"/>
  <c r="I25" i="24"/>
  <c r="K25" i="24"/>
  <c r="L34" i="24"/>
  <c r="C34" i="24"/>
  <c r="E34" i="24"/>
  <c r="G34" i="24"/>
  <c r="I34" i="24"/>
  <c r="C36" i="23"/>
  <c r="C19" i="5"/>
  <c r="C18" i="27"/>
  <c r="C17" i="26"/>
  <c r="J19" i="5"/>
  <c r="J18" i="27"/>
  <c r="E17" i="5"/>
  <c r="F21" i="29"/>
  <c r="E15" i="27"/>
  <c r="E14" i="26"/>
  <c r="I24" i="29"/>
  <c r="I23" i="29"/>
  <c r="H20" i="27"/>
  <c r="H21" i="5"/>
  <c r="H22" i="27"/>
  <c r="G17" i="29"/>
  <c r="I17" i="29"/>
  <c r="K17" i="29"/>
  <c r="M17" i="29"/>
  <c r="J20" i="9"/>
  <c r="C26" i="23"/>
  <c r="D14" i="23"/>
  <c r="L14" i="23"/>
  <c r="L19" i="5"/>
  <c r="L22" i="5"/>
  <c r="L14" i="26"/>
  <c r="L15" i="27"/>
  <c r="K14" i="24"/>
  <c r="I20" i="23"/>
  <c r="I14" i="24"/>
  <c r="E20" i="23"/>
  <c r="E14" i="24"/>
  <c r="G20" i="23"/>
  <c r="G14" i="24"/>
  <c r="H20" i="25"/>
  <c r="K26" i="9"/>
  <c r="P18" i="19"/>
  <c r="P19" i="19"/>
  <c r="Q50" i="19"/>
  <c r="G51" i="19"/>
  <c r="G24" i="19"/>
  <c r="K19" i="5"/>
  <c r="K34" i="24"/>
  <c r="H18" i="24"/>
  <c r="F34" i="24"/>
  <c r="D7" i="29"/>
  <c r="F18" i="24"/>
  <c r="D8" i="29"/>
  <c r="D34" i="24"/>
  <c r="M8" i="2"/>
  <c r="E12" i="28"/>
  <c r="F12" i="36"/>
  <c r="I12" i="28"/>
  <c r="J12" i="36"/>
  <c r="N8" i="2"/>
  <c r="L8" i="29"/>
  <c r="L7" i="29"/>
  <c r="K18" i="24"/>
  <c r="J34" i="24"/>
  <c r="J26" i="23"/>
  <c r="K13" i="29"/>
  <c r="J22" i="24"/>
  <c r="L26" i="23"/>
  <c r="M13" i="29"/>
  <c r="L22" i="24"/>
  <c r="H26" i="23"/>
  <c r="I13" i="29"/>
  <c r="H22" i="24"/>
  <c r="D26" i="23"/>
  <c r="E13" i="29"/>
  <c r="D22" i="24"/>
  <c r="F22" i="24"/>
  <c r="F26" i="23"/>
  <c r="G13" i="29"/>
  <c r="K20" i="23"/>
  <c r="I22" i="29"/>
  <c r="H34" i="24"/>
  <c r="L14" i="24"/>
  <c r="M7" i="29"/>
  <c r="L20" i="23"/>
  <c r="M8" i="29"/>
  <c r="E7" i="29"/>
  <c r="E8" i="29"/>
  <c r="D20" i="23"/>
  <c r="D23" i="29"/>
  <c r="C20" i="27"/>
  <c r="D19" i="26"/>
  <c r="F19" i="26"/>
  <c r="H19" i="26"/>
  <c r="J19" i="26"/>
  <c r="D24" i="29"/>
  <c r="C19" i="26"/>
  <c r="K19" i="26"/>
  <c r="C22" i="5"/>
  <c r="C21" i="5"/>
  <c r="G7" i="29"/>
  <c r="G8" i="29"/>
  <c r="F20" i="23"/>
  <c r="I19" i="5"/>
  <c r="I19" i="26"/>
  <c r="I18" i="27"/>
  <c r="I17" i="26"/>
  <c r="L23" i="29"/>
  <c r="K20" i="27"/>
  <c r="L22" i="29"/>
  <c r="L24" i="29"/>
  <c r="K22" i="5"/>
  <c r="K21" i="5"/>
  <c r="K20" i="24"/>
  <c r="G20" i="24"/>
  <c r="C20" i="24"/>
  <c r="J20" i="24"/>
  <c r="F20" i="24"/>
  <c r="C20" i="25"/>
  <c r="I20" i="24"/>
  <c r="E20" i="24"/>
  <c r="L20" i="24"/>
  <c r="H20" i="24"/>
  <c r="D20" i="24"/>
  <c r="C28" i="23"/>
  <c r="C26" i="25"/>
  <c r="F14" i="24"/>
  <c r="C26" i="24"/>
  <c r="E26" i="24"/>
  <c r="G26" i="24"/>
  <c r="I26" i="24"/>
  <c r="K26" i="24"/>
  <c r="J26" i="24"/>
  <c r="D13" i="29"/>
  <c r="E19" i="5"/>
  <c r="E18" i="27"/>
  <c r="E17" i="26"/>
  <c r="K22" i="29"/>
  <c r="K24" i="29"/>
  <c r="K23" i="29"/>
  <c r="J20" i="27"/>
  <c r="J21" i="5"/>
  <c r="J22" i="27"/>
  <c r="J22" i="5"/>
  <c r="J23" i="27"/>
  <c r="C36" i="24"/>
  <c r="E36" i="24"/>
  <c r="G36" i="24"/>
  <c r="I36" i="24"/>
  <c r="K36" i="24"/>
  <c r="D36" i="24"/>
  <c r="F36" i="24"/>
  <c r="H36" i="24"/>
  <c r="J36" i="24"/>
  <c r="L36" i="24"/>
  <c r="C40" i="23"/>
  <c r="G22" i="29"/>
  <c r="G24" i="29"/>
  <c r="G23" i="29"/>
  <c r="F20" i="27"/>
  <c r="F21" i="5"/>
  <c r="F22" i="27"/>
  <c r="F22" i="5"/>
  <c r="F23" i="27"/>
  <c r="K7" i="29"/>
  <c r="K8" i="29"/>
  <c r="J20" i="23"/>
  <c r="G19" i="5"/>
  <c r="G18" i="27"/>
  <c r="G17" i="26"/>
  <c r="D14" i="24"/>
  <c r="J14" i="24"/>
  <c r="E22" i="29"/>
  <c r="L18" i="27"/>
  <c r="L17" i="26"/>
  <c r="E28" i="23"/>
  <c r="E20" i="25"/>
  <c r="G28" i="23"/>
  <c r="G20" i="25"/>
  <c r="I28" i="23"/>
  <c r="I20" i="25"/>
  <c r="K34" i="9"/>
  <c r="L17" i="29"/>
  <c r="H51" i="19"/>
  <c r="H53" i="19"/>
  <c r="H56" i="19"/>
  <c r="G53" i="19"/>
  <c r="G56" i="19"/>
  <c r="H24" i="19"/>
  <c r="G29" i="19"/>
  <c r="G35" i="19"/>
  <c r="G41" i="19"/>
  <c r="G55" i="19"/>
  <c r="Q19" i="19"/>
  <c r="Q18" i="19"/>
  <c r="H28" i="23"/>
  <c r="H26" i="24"/>
  <c r="L28" i="23"/>
  <c r="M18" i="29"/>
  <c r="N9" i="36"/>
  <c r="F26" i="24"/>
  <c r="G57" i="19"/>
  <c r="L26" i="24"/>
  <c r="D26" i="24"/>
  <c r="I14" i="29"/>
  <c r="I13" i="28"/>
  <c r="I10" i="28"/>
  <c r="K12" i="28"/>
  <c r="L12" i="36"/>
  <c r="L12" i="28"/>
  <c r="M12" i="36"/>
  <c r="D12" i="28"/>
  <c r="E12" i="36"/>
  <c r="G12" i="28"/>
  <c r="H12" i="36"/>
  <c r="K20" i="25"/>
  <c r="K28" i="23"/>
  <c r="L18" i="29"/>
  <c r="F18" i="29"/>
  <c r="F15" i="29"/>
  <c r="F14" i="29"/>
  <c r="J20" i="25"/>
  <c r="J28" i="23"/>
  <c r="J28" i="24"/>
  <c r="F23" i="29"/>
  <c r="E20" i="27"/>
  <c r="F22" i="29"/>
  <c r="F24" i="29"/>
  <c r="E22" i="5"/>
  <c r="E23" i="27"/>
  <c r="E21" i="5"/>
  <c r="E22" i="27"/>
  <c r="K23" i="27"/>
  <c r="AL53" i="7"/>
  <c r="F20" i="25"/>
  <c r="F28" i="23"/>
  <c r="F28" i="24"/>
  <c r="C23" i="27"/>
  <c r="D22" i="26"/>
  <c r="F22" i="26"/>
  <c r="H22" i="26"/>
  <c r="J22" i="26"/>
  <c r="C22" i="26"/>
  <c r="K22" i="26"/>
  <c r="D20" i="25"/>
  <c r="D28" i="23"/>
  <c r="D28" i="24"/>
  <c r="E19" i="26"/>
  <c r="C36" i="25"/>
  <c r="J18" i="29"/>
  <c r="J15" i="29"/>
  <c r="J14" i="29"/>
  <c r="H18" i="29"/>
  <c r="H15" i="29"/>
  <c r="H14" i="29"/>
  <c r="H23" i="29"/>
  <c r="G20" i="27"/>
  <c r="H22" i="29"/>
  <c r="H24" i="29"/>
  <c r="G22" i="5"/>
  <c r="G23" i="27"/>
  <c r="G21" i="5"/>
  <c r="G22" i="27"/>
  <c r="C40" i="24"/>
  <c r="E40" i="24"/>
  <c r="G40" i="24"/>
  <c r="I40" i="24"/>
  <c r="K40" i="24"/>
  <c r="D40" i="24"/>
  <c r="F40" i="24"/>
  <c r="H40" i="24"/>
  <c r="J40" i="24"/>
  <c r="L40" i="24"/>
  <c r="D21" i="29"/>
  <c r="C40" i="25"/>
  <c r="D18" i="29"/>
  <c r="D15" i="29"/>
  <c r="D14" i="29"/>
  <c r="C14" i="25"/>
  <c r="C28" i="24"/>
  <c r="C12" i="25"/>
  <c r="C32" i="25"/>
  <c r="H28" i="24"/>
  <c r="C38" i="25"/>
  <c r="C18" i="25"/>
  <c r="C17" i="25"/>
  <c r="C24" i="25"/>
  <c r="C16" i="25"/>
  <c r="C10" i="25"/>
  <c r="C28" i="25"/>
  <c r="C23" i="25"/>
  <c r="C11" i="25"/>
  <c r="C34" i="25"/>
  <c r="C22" i="25"/>
  <c r="C25" i="25"/>
  <c r="C13" i="25"/>
  <c r="C30" i="25"/>
  <c r="K22" i="27"/>
  <c r="AL52" i="7"/>
  <c r="J23" i="29"/>
  <c r="I20" i="27"/>
  <c r="J22" i="29"/>
  <c r="J24" i="29"/>
  <c r="I22" i="5"/>
  <c r="I23" i="27"/>
  <c r="I21" i="5"/>
  <c r="I22" i="27"/>
  <c r="C22" i="27"/>
  <c r="D21" i="26"/>
  <c r="F21" i="26"/>
  <c r="H21" i="26"/>
  <c r="J21" i="26"/>
  <c r="C21" i="26"/>
  <c r="K21" i="26"/>
  <c r="L20" i="25"/>
  <c r="G19" i="26"/>
  <c r="D22" i="29"/>
  <c r="L21" i="5"/>
  <c r="L22" i="27"/>
  <c r="M22" i="29"/>
  <c r="M23" i="29"/>
  <c r="M24" i="29"/>
  <c r="L20" i="27"/>
  <c r="L19" i="26"/>
  <c r="L23" i="27"/>
  <c r="L22" i="26"/>
  <c r="L21" i="26"/>
  <c r="G17" i="25"/>
  <c r="G24" i="25"/>
  <c r="G22" i="25"/>
  <c r="G16" i="25"/>
  <c r="G12" i="25"/>
  <c r="G10" i="25"/>
  <c r="G40" i="25"/>
  <c r="G36" i="25"/>
  <c r="G32" i="25"/>
  <c r="G28" i="25"/>
  <c r="G25" i="25"/>
  <c r="G23" i="25"/>
  <c r="G13" i="25"/>
  <c r="G38" i="25"/>
  <c r="G34" i="25"/>
  <c r="G26" i="25"/>
  <c r="G18" i="25"/>
  <c r="G11" i="25"/>
  <c r="G28" i="24"/>
  <c r="G14" i="25"/>
  <c r="E17" i="25"/>
  <c r="E25" i="25"/>
  <c r="E23" i="25"/>
  <c r="E13" i="25"/>
  <c r="E38" i="25"/>
  <c r="E34" i="25"/>
  <c r="E26" i="25"/>
  <c r="E18" i="25"/>
  <c r="E24" i="25"/>
  <c r="E22" i="25"/>
  <c r="E16" i="25"/>
  <c r="E12" i="25"/>
  <c r="E10" i="25"/>
  <c r="E40" i="25"/>
  <c r="E36" i="25"/>
  <c r="E32" i="25"/>
  <c r="E28" i="25"/>
  <c r="E11" i="25"/>
  <c r="E28" i="24"/>
  <c r="E14" i="25"/>
  <c r="K23" i="25"/>
  <c r="K38" i="25"/>
  <c r="I17" i="25"/>
  <c r="I25" i="25"/>
  <c r="I23" i="25"/>
  <c r="I13" i="25"/>
  <c r="I38" i="25"/>
  <c r="I34" i="25"/>
  <c r="I26" i="25"/>
  <c r="I18" i="25"/>
  <c r="I24" i="25"/>
  <c r="I22" i="25"/>
  <c r="I16" i="25"/>
  <c r="I12" i="25"/>
  <c r="I10" i="25"/>
  <c r="I40" i="25"/>
  <c r="I36" i="25"/>
  <c r="I32" i="25"/>
  <c r="I28" i="25"/>
  <c r="I11" i="25"/>
  <c r="I14" i="25"/>
  <c r="I28" i="24"/>
  <c r="K36" i="25"/>
  <c r="K28" i="25"/>
  <c r="K10" i="25"/>
  <c r="K16" i="25"/>
  <c r="E22" i="26"/>
  <c r="K28" i="24"/>
  <c r="J13" i="36"/>
  <c r="J10" i="36"/>
  <c r="K11" i="25"/>
  <c r="K24" i="25"/>
  <c r="K26" i="25"/>
  <c r="I18" i="29"/>
  <c r="H25" i="25"/>
  <c r="H24" i="25"/>
  <c r="H23" i="25"/>
  <c r="H11" i="25"/>
  <c r="H38" i="25"/>
  <c r="H26" i="25"/>
  <c r="H10" i="25"/>
  <c r="H13" i="25"/>
  <c r="H16" i="25"/>
  <c r="H14" i="25"/>
  <c r="H40" i="25"/>
  <c r="H36" i="25"/>
  <c r="H17" i="25"/>
  <c r="H22" i="25"/>
  <c r="H12" i="25"/>
  <c r="H34" i="25"/>
  <c r="H28" i="25"/>
  <c r="H18" i="25"/>
  <c r="I15" i="29"/>
  <c r="H32" i="25"/>
  <c r="L15" i="29"/>
  <c r="M12" i="28"/>
  <c r="N12" i="36"/>
  <c r="D13" i="28"/>
  <c r="D10" i="28"/>
  <c r="E13" i="36"/>
  <c r="E10" i="36"/>
  <c r="D9" i="28"/>
  <c r="D7" i="28"/>
  <c r="E9" i="36"/>
  <c r="J13" i="28"/>
  <c r="K13" i="36"/>
  <c r="J9" i="28"/>
  <c r="K9" i="36"/>
  <c r="F12" i="28"/>
  <c r="G12" i="36"/>
  <c r="F13" i="28"/>
  <c r="G13" i="36"/>
  <c r="F9" i="28"/>
  <c r="G9" i="36"/>
  <c r="J12" i="28"/>
  <c r="K12" i="36"/>
  <c r="H12" i="28"/>
  <c r="I12" i="36"/>
  <c r="H13" i="28"/>
  <c r="I13" i="36"/>
  <c r="H9" i="28"/>
  <c r="I9" i="36"/>
  <c r="L9" i="28"/>
  <c r="M9" i="36"/>
  <c r="I21" i="26"/>
  <c r="K14" i="25"/>
  <c r="K18" i="25"/>
  <c r="K34" i="25"/>
  <c r="K13" i="25"/>
  <c r="K25" i="25"/>
  <c r="K32" i="25"/>
  <c r="K40" i="25"/>
  <c r="K12" i="25"/>
  <c r="K22" i="25"/>
  <c r="K17" i="25"/>
  <c r="E21" i="26"/>
  <c r="L14" i="29"/>
  <c r="G21" i="26"/>
  <c r="E18" i="29"/>
  <c r="E14" i="29"/>
  <c r="E15" i="29"/>
  <c r="D11" i="25"/>
  <c r="D34" i="25"/>
  <c r="D26" i="25"/>
  <c r="D25" i="25"/>
  <c r="D16" i="25"/>
  <c r="D40" i="25"/>
  <c r="D28" i="25"/>
  <c r="D24" i="25"/>
  <c r="D13" i="25"/>
  <c r="D10" i="25"/>
  <c r="D38" i="25"/>
  <c r="D32" i="25"/>
  <c r="D18" i="25"/>
  <c r="D23" i="25"/>
  <c r="D12" i="25"/>
  <c r="D36" i="25"/>
  <c r="D17" i="25"/>
  <c r="D22" i="25"/>
  <c r="D14" i="25"/>
  <c r="G18" i="29"/>
  <c r="G14" i="29"/>
  <c r="G15" i="29"/>
  <c r="F10" i="25"/>
  <c r="F36" i="25"/>
  <c r="F17" i="25"/>
  <c r="F22" i="25"/>
  <c r="F11" i="25"/>
  <c r="F34" i="25"/>
  <c r="F26" i="25"/>
  <c r="F25" i="25"/>
  <c r="F16" i="25"/>
  <c r="F14" i="25"/>
  <c r="F40" i="25"/>
  <c r="F28" i="25"/>
  <c r="F24" i="25"/>
  <c r="F13" i="25"/>
  <c r="F38" i="25"/>
  <c r="F32" i="25"/>
  <c r="F18" i="25"/>
  <c r="F23" i="25"/>
  <c r="F12" i="25"/>
  <c r="K18" i="29"/>
  <c r="K14" i="29"/>
  <c r="K15" i="29"/>
  <c r="J40" i="25"/>
  <c r="J28" i="25"/>
  <c r="J24" i="25"/>
  <c r="J13" i="25"/>
  <c r="J38" i="25"/>
  <c r="J32" i="25"/>
  <c r="J18" i="25"/>
  <c r="J23" i="25"/>
  <c r="J16" i="25"/>
  <c r="J10" i="25"/>
  <c r="J36" i="25"/>
  <c r="J17" i="25"/>
  <c r="J22" i="25"/>
  <c r="J11" i="25"/>
  <c r="J34" i="25"/>
  <c r="J26" i="25"/>
  <c r="J25" i="25"/>
  <c r="J12" i="25"/>
  <c r="J14" i="25"/>
  <c r="G22" i="26"/>
  <c r="L28" i="24"/>
  <c r="M9" i="28"/>
  <c r="M14" i="29"/>
  <c r="L10" i="25"/>
  <c r="L38" i="25"/>
  <c r="L32" i="25"/>
  <c r="L18" i="25"/>
  <c r="L23" i="25"/>
  <c r="L12" i="25"/>
  <c r="L36" i="25"/>
  <c r="L28" i="25"/>
  <c r="L24" i="25"/>
  <c r="L13" i="25"/>
  <c r="M15" i="29"/>
  <c r="L11" i="25"/>
  <c r="L34" i="25"/>
  <c r="L26" i="25"/>
  <c r="L25" i="25"/>
  <c r="L16" i="25"/>
  <c r="L40" i="25"/>
  <c r="L33" i="25"/>
  <c r="L17" i="25"/>
  <c r="L22" i="25"/>
  <c r="L14" i="25"/>
  <c r="I22" i="26"/>
  <c r="X21" i="3"/>
  <c r="W21" i="3"/>
  <c r="V21" i="3"/>
  <c r="U21" i="3"/>
  <c r="T21" i="3"/>
  <c r="M33" i="12"/>
  <c r="N33" i="12"/>
  <c r="O33" i="12"/>
  <c r="M40" i="3"/>
  <c r="N40" i="3"/>
  <c r="O40" i="3"/>
  <c r="P40" i="3"/>
  <c r="K11" i="13"/>
  <c r="K10" i="34"/>
  <c r="J11" i="13"/>
  <c r="J10" i="34"/>
  <c r="J36" i="32"/>
  <c r="K36" i="32"/>
  <c r="K34" i="32"/>
  <c r="K8" i="12"/>
  <c r="L4" i="3"/>
  <c r="L4" i="11"/>
  <c r="T37" i="18"/>
  <c r="K14" i="17"/>
  <c r="K13" i="17"/>
  <c r="J14" i="17"/>
  <c r="J13" i="17"/>
  <c r="I14" i="17"/>
  <c r="I13" i="17"/>
  <c r="I35" i="1"/>
  <c r="I23" i="1"/>
  <c r="B23" i="1"/>
  <c r="C17" i="12"/>
  <c r="C18" i="12"/>
  <c r="C33" i="12"/>
  <c r="B21" i="1"/>
  <c r="I13" i="1"/>
  <c r="I14" i="1"/>
  <c r="I11" i="1"/>
  <c r="I12" i="1"/>
  <c r="I10" i="1"/>
  <c r="H10" i="1"/>
  <c r="B10" i="1"/>
  <c r="H94" i="34"/>
  <c r="I94" i="34"/>
  <c r="J94" i="34"/>
  <c r="K94" i="34"/>
  <c r="L94" i="34"/>
  <c r="M94" i="34"/>
  <c r="N94" i="34"/>
  <c r="O94" i="34"/>
  <c r="P94" i="34"/>
  <c r="I25" i="32"/>
  <c r="I39" i="3"/>
  <c r="I38" i="3"/>
  <c r="J39" i="3"/>
  <c r="J40" i="34"/>
  <c r="J38" i="3"/>
  <c r="K38" i="3"/>
  <c r="M35" i="3"/>
  <c r="M37" i="3"/>
  <c r="I17" i="8"/>
  <c r="I18" i="12"/>
  <c r="J37" i="34"/>
  <c r="P37" i="34"/>
  <c r="K18" i="14"/>
  <c r="K17" i="12"/>
  <c r="E13" i="34"/>
  <c r="I14" i="15"/>
  <c r="I15" i="15"/>
  <c r="I34" i="32"/>
  <c r="K39" i="3"/>
  <c r="B21" i="33"/>
  <c r="B22" i="33"/>
  <c r="M31" i="16"/>
  <c r="N31" i="16"/>
  <c r="O31" i="16"/>
  <c r="P31" i="16"/>
  <c r="I17" i="12"/>
  <c r="J18" i="12"/>
  <c r="J14" i="15"/>
  <c r="J15" i="15"/>
  <c r="J11" i="8"/>
  <c r="J8" i="15"/>
  <c r="K8" i="15"/>
  <c r="L8" i="15"/>
  <c r="K9" i="15"/>
  <c r="L9" i="15"/>
  <c r="L16" i="8"/>
  <c r="K5" i="3"/>
  <c r="K5" i="14"/>
  <c r="L10" i="34"/>
  <c r="L16" i="34"/>
  <c r="L11" i="34"/>
  <c r="L17" i="34"/>
  <c r="L19" i="34"/>
  <c r="K11" i="12"/>
  <c r="K12" i="12"/>
  <c r="K16" i="12"/>
  <c r="M23" i="11"/>
  <c r="N23" i="11"/>
  <c r="O23" i="11"/>
  <c r="P23" i="11"/>
  <c r="M24" i="11"/>
  <c r="N24" i="11"/>
  <c r="O24" i="11"/>
  <c r="P24" i="11"/>
  <c r="L23" i="11"/>
  <c r="M41" i="18"/>
  <c r="N41" i="18"/>
  <c r="O41" i="18"/>
  <c r="P41" i="18"/>
  <c r="K21" i="18"/>
  <c r="L19" i="18"/>
  <c r="L16" i="11"/>
  <c r="L8" i="11"/>
  <c r="L9" i="11"/>
  <c r="L10" i="11"/>
  <c r="L11" i="18"/>
  <c r="M31" i="18"/>
  <c r="N31" i="18"/>
  <c r="O31" i="18"/>
  <c r="P31" i="18"/>
  <c r="M35" i="18"/>
  <c r="N35" i="18"/>
  <c r="O35" i="18"/>
  <c r="P35" i="18"/>
  <c r="M14" i="18"/>
  <c r="O14" i="18"/>
  <c r="P14" i="18"/>
  <c r="M15" i="18"/>
  <c r="N15" i="18"/>
  <c r="O15" i="18"/>
  <c r="P15" i="18"/>
  <c r="L14" i="18"/>
  <c r="J21" i="18"/>
  <c r="I21" i="18"/>
  <c r="K14" i="16"/>
  <c r="L8" i="16"/>
  <c r="L26" i="16"/>
  <c r="L13" i="16"/>
  <c r="L10" i="18"/>
  <c r="J14" i="16"/>
  <c r="I14" i="16"/>
  <c r="J19" i="13"/>
  <c r="I19" i="13"/>
  <c r="J16" i="12"/>
  <c r="I16" i="12"/>
  <c r="J12" i="12"/>
  <c r="J11" i="12"/>
  <c r="K7" i="13"/>
  <c r="J7" i="13"/>
  <c r="I7" i="13"/>
  <c r="I9" i="13"/>
  <c r="K7" i="12"/>
  <c r="J7" i="12"/>
  <c r="I7" i="12"/>
  <c r="M39" i="3"/>
  <c r="N39" i="3"/>
  <c r="K34" i="3"/>
  <c r="J34" i="3"/>
  <c r="N9" i="13"/>
  <c r="N12" i="13"/>
  <c r="O12" i="13"/>
  <c r="P12" i="13"/>
  <c r="O9" i="13"/>
  <c r="P9" i="13"/>
  <c r="M28" i="12"/>
  <c r="N28" i="12"/>
  <c r="M27" i="12"/>
  <c r="N27" i="12"/>
  <c r="O27" i="12"/>
  <c r="K11" i="14"/>
  <c r="K11" i="34"/>
  <c r="J11" i="14"/>
  <c r="J11" i="34"/>
  <c r="I11" i="14"/>
  <c r="I11" i="34"/>
  <c r="K7" i="14"/>
  <c r="K9" i="14"/>
  <c r="J7" i="14"/>
  <c r="J9" i="14"/>
  <c r="I7" i="14"/>
  <c r="I9" i="14"/>
  <c r="L15" i="14"/>
  <c r="L16" i="14"/>
  <c r="M8" i="14"/>
  <c r="N8" i="14"/>
  <c r="M11" i="14"/>
  <c r="N11" i="14"/>
  <c r="N11" i="34"/>
  <c r="N17" i="34"/>
  <c r="K18" i="12"/>
  <c r="K15" i="15"/>
  <c r="M12" i="18"/>
  <c r="N12" i="18"/>
  <c r="O12" i="18"/>
  <c r="P12" i="18"/>
  <c r="I30" i="18"/>
  <c r="I40" i="18"/>
  <c r="I31" i="18"/>
  <c r="I41" i="18"/>
  <c r="I32" i="18"/>
  <c r="B7" i="16"/>
  <c r="M24" i="16"/>
  <c r="N24" i="16"/>
  <c r="G5" i="33"/>
  <c r="F5" i="33"/>
  <c r="B42" i="3"/>
  <c r="B43" i="3"/>
  <c r="H42" i="1"/>
  <c r="B31" i="1"/>
  <c r="M25" i="16"/>
  <c r="N25" i="16"/>
  <c r="M10" i="16"/>
  <c r="M8" i="11"/>
  <c r="B31" i="33"/>
  <c r="O21" i="33"/>
  <c r="B29" i="33"/>
  <c r="O16" i="33"/>
  <c r="B14" i="33"/>
  <c r="O11" i="33"/>
  <c r="B13" i="33"/>
  <c r="O6" i="33"/>
  <c r="O4" i="33"/>
  <c r="J9" i="15"/>
  <c r="I9" i="15"/>
  <c r="B30" i="33"/>
  <c r="B28" i="33"/>
  <c r="B20" i="33"/>
  <c r="B17" i="33"/>
  <c r="B16" i="33"/>
  <c r="B15" i="33"/>
  <c r="B10" i="33"/>
  <c r="B9" i="33"/>
  <c r="B8" i="33"/>
  <c r="B7" i="33"/>
  <c r="B1" i="33"/>
  <c r="B2" i="33"/>
  <c r="K5" i="33"/>
  <c r="B45" i="1"/>
  <c r="B23" i="18"/>
  <c r="B34" i="18"/>
  <c r="B44" i="1"/>
  <c r="B18" i="18"/>
  <c r="B30" i="18"/>
  <c r="B43" i="1"/>
  <c r="H45" i="1"/>
  <c r="H44" i="1"/>
  <c r="H43" i="1"/>
  <c r="B40" i="1"/>
  <c r="B38" i="1"/>
  <c r="B37" i="1"/>
  <c r="B36" i="1"/>
  <c r="B35" i="1"/>
  <c r="B34" i="1"/>
  <c r="H37" i="1"/>
  <c r="H36" i="1"/>
  <c r="H35" i="1"/>
  <c r="H34" i="1"/>
  <c r="H33" i="1"/>
  <c r="B30" i="1"/>
  <c r="H30" i="1"/>
  <c r="B26" i="1"/>
  <c r="I27" i="1"/>
  <c r="H27" i="1"/>
  <c r="H26" i="1"/>
  <c r="H25" i="1"/>
  <c r="B14" i="1"/>
  <c r="B13" i="1"/>
  <c r="B12" i="1"/>
  <c r="B11" i="1"/>
  <c r="H14" i="1"/>
  <c r="H13" i="1"/>
  <c r="H12" i="1"/>
  <c r="H11" i="1"/>
  <c r="H19" i="1"/>
  <c r="H17" i="1"/>
  <c r="H16" i="1"/>
  <c r="C16" i="12"/>
  <c r="C29" i="12"/>
  <c r="B18" i="1"/>
  <c r="C12" i="12"/>
  <c r="C28" i="12"/>
  <c r="B17" i="1"/>
  <c r="C11" i="12"/>
  <c r="C27" i="12"/>
  <c r="B16" i="1"/>
  <c r="I6" i="32"/>
  <c r="I37" i="32"/>
  <c r="J37" i="32"/>
  <c r="J6" i="32"/>
  <c r="K37" i="32"/>
  <c r="K6" i="32"/>
  <c r="K7" i="32"/>
  <c r="I55" i="32"/>
  <c r="F64" i="34"/>
  <c r="B1" i="3"/>
  <c r="B2" i="3"/>
  <c r="I4" i="3"/>
  <c r="I4" i="12"/>
  <c r="E61" i="3"/>
  <c r="E62" i="3"/>
  <c r="E63" i="3"/>
  <c r="E64" i="3"/>
  <c r="E65" i="3"/>
  <c r="E66" i="3"/>
  <c r="G74" i="3"/>
  <c r="H74" i="3"/>
  <c r="I74" i="3"/>
  <c r="J74" i="3"/>
  <c r="K74" i="3"/>
  <c r="L74" i="3"/>
  <c r="M74" i="3"/>
  <c r="E85" i="3"/>
  <c r="B1" i="8"/>
  <c r="B2" i="8"/>
  <c r="I8" i="15"/>
  <c r="B1" i="11"/>
  <c r="B2" i="11"/>
  <c r="B2" i="12"/>
  <c r="B8" i="12"/>
  <c r="B2" i="13"/>
  <c r="B2" i="14"/>
  <c r="B1" i="15"/>
  <c r="B2" i="15"/>
  <c r="C9" i="15"/>
  <c r="C14" i="15"/>
  <c r="B2" i="16"/>
  <c r="M18" i="16"/>
  <c r="N18" i="16"/>
  <c r="O18" i="16"/>
  <c r="P18" i="16"/>
  <c r="B1" i="17"/>
  <c r="B2" i="17"/>
  <c r="B1" i="18"/>
  <c r="B2" i="18"/>
  <c r="B1" i="32"/>
  <c r="B2" i="32"/>
  <c r="J55" i="32"/>
  <c r="J25" i="32"/>
  <c r="K25" i="32"/>
  <c r="I26" i="32"/>
  <c r="I48" i="32"/>
  <c r="I49" i="32"/>
  <c r="J48" i="32"/>
  <c r="K48" i="32"/>
  <c r="J49" i="32"/>
  <c r="K49" i="32"/>
  <c r="I52" i="32"/>
  <c r="J52" i="32"/>
  <c r="K52" i="32"/>
  <c r="K55" i="32"/>
  <c r="I58" i="32"/>
  <c r="J58" i="32"/>
  <c r="K58" i="32"/>
  <c r="L66" i="32"/>
  <c r="L67" i="32"/>
  <c r="L68" i="32"/>
  <c r="B1" i="34"/>
  <c r="B2" i="34"/>
  <c r="I7" i="34"/>
  <c r="J7" i="34"/>
  <c r="K7" i="34"/>
  <c r="P29" i="34"/>
  <c r="P46" i="34"/>
  <c r="L37" i="34"/>
  <c r="J46" i="34"/>
  <c r="J47" i="34"/>
  <c r="P47" i="34"/>
  <c r="C56" i="34"/>
  <c r="I72" i="34"/>
  <c r="J72" i="34"/>
  <c r="K72" i="34"/>
  <c r="L72" i="34"/>
  <c r="M72" i="34"/>
  <c r="N72" i="34"/>
  <c r="O72" i="34"/>
  <c r="P72" i="34"/>
  <c r="G74" i="34"/>
  <c r="G75" i="34"/>
  <c r="G76" i="34"/>
  <c r="G77" i="34"/>
  <c r="G78" i="34"/>
  <c r="G79" i="34"/>
  <c r="G80" i="34"/>
  <c r="G81" i="34"/>
  <c r="G82" i="34"/>
  <c r="G83" i="34"/>
  <c r="G84" i="34"/>
  <c r="G85" i="34"/>
  <c r="G86" i="34"/>
  <c r="G96" i="34"/>
  <c r="G97" i="34"/>
  <c r="G98" i="34"/>
  <c r="G99" i="34"/>
  <c r="G100" i="34"/>
  <c r="G101" i="34"/>
  <c r="G102" i="34"/>
  <c r="G103" i="34"/>
  <c r="G104" i="34"/>
  <c r="G105" i="34"/>
  <c r="G106" i="34"/>
  <c r="G107" i="34"/>
  <c r="G108" i="34"/>
  <c r="H31" i="1"/>
  <c r="H29" i="1"/>
  <c r="I53" i="32"/>
  <c r="K11" i="8"/>
  <c r="K17" i="8"/>
  <c r="I59" i="32"/>
  <c r="C58" i="34"/>
  <c r="H21" i="1"/>
  <c r="H38" i="1"/>
  <c r="L7" i="14"/>
  <c r="L9" i="14"/>
  <c r="L7" i="34"/>
  <c r="M67" i="32"/>
  <c r="L7" i="12"/>
  <c r="L11" i="12"/>
  <c r="J27" i="18"/>
  <c r="M66" i="32"/>
  <c r="I11" i="13"/>
  <c r="L10" i="17"/>
  <c r="L12" i="17"/>
  <c r="N68" i="32"/>
  <c r="K31" i="8"/>
  <c r="L13" i="3"/>
  <c r="L6" i="32"/>
  <c r="L7" i="13"/>
  <c r="J17" i="12"/>
  <c r="J22" i="8"/>
  <c r="J59" i="32"/>
  <c r="I36" i="32"/>
  <c r="I27" i="18"/>
  <c r="M16" i="11"/>
  <c r="M68" i="32"/>
  <c r="M7" i="3"/>
  <c r="K27" i="18"/>
  <c r="L24" i="18"/>
  <c r="J18" i="14"/>
  <c r="I8" i="12"/>
  <c r="O68" i="32"/>
  <c r="J8" i="12"/>
  <c r="J34" i="32"/>
  <c r="I9" i="32"/>
  <c r="J9" i="32"/>
  <c r="J10" i="32"/>
  <c r="N10" i="16"/>
  <c r="O10" i="16"/>
  <c r="I9" i="28"/>
  <c r="I7" i="28"/>
  <c r="J9" i="36"/>
  <c r="J7" i="36"/>
  <c r="M10" i="11"/>
  <c r="M16" i="14"/>
  <c r="J10" i="28"/>
  <c r="J7" i="28"/>
  <c r="L4" i="14"/>
  <c r="L27" i="11"/>
  <c r="K16" i="15"/>
  <c r="I10" i="15"/>
  <c r="M13" i="28"/>
  <c r="M10" i="28"/>
  <c r="N13" i="36"/>
  <c r="N10" i="36"/>
  <c r="N7" i="36"/>
  <c r="K9" i="28"/>
  <c r="K13" i="28"/>
  <c r="K10" i="28"/>
  <c r="K7" i="28"/>
  <c r="L9" i="36"/>
  <c r="G9" i="28"/>
  <c r="G13" i="28"/>
  <c r="G10" i="28"/>
  <c r="G7" i="28"/>
  <c r="H9" i="36"/>
  <c r="E9" i="28"/>
  <c r="F9" i="36"/>
  <c r="L13" i="28"/>
  <c r="L10" i="28"/>
  <c r="L7" i="28"/>
  <c r="M13" i="36"/>
  <c r="M10" i="36"/>
  <c r="M7" i="36"/>
  <c r="I10" i="36"/>
  <c r="I7" i="36"/>
  <c r="K10" i="36"/>
  <c r="K7" i="36"/>
  <c r="F10" i="28"/>
  <c r="F7" i="28"/>
  <c r="L13" i="36"/>
  <c r="L10" i="36"/>
  <c r="H13" i="36"/>
  <c r="H10" i="36"/>
  <c r="E13" i="28"/>
  <c r="E10" i="28"/>
  <c r="F13" i="36"/>
  <c r="F10" i="36"/>
  <c r="H10" i="28"/>
  <c r="H7" i="28"/>
  <c r="G10" i="36"/>
  <c r="G7" i="36"/>
  <c r="E7" i="36"/>
  <c r="K5" i="13"/>
  <c r="M15" i="14"/>
  <c r="J31" i="12"/>
  <c r="J12" i="14"/>
  <c r="L7" i="32"/>
  <c r="M14" i="3"/>
  <c r="M11" i="34"/>
  <c r="M17" i="34"/>
  <c r="N10" i="11"/>
  <c r="N66" i="32"/>
  <c r="I38" i="32"/>
  <c r="K50" i="32"/>
  <c r="L4" i="8"/>
  <c r="L4" i="15"/>
  <c r="K53" i="32"/>
  <c r="N16" i="14"/>
  <c r="J27" i="8"/>
  <c r="J31" i="8"/>
  <c r="C32" i="12"/>
  <c r="B20" i="1"/>
  <c r="C31" i="12"/>
  <c r="B19" i="1"/>
  <c r="K31" i="12"/>
  <c r="L5" i="3"/>
  <c r="F73" i="3"/>
  <c r="L13" i="17"/>
  <c r="L14" i="17"/>
  <c r="M10" i="3"/>
  <c r="M9" i="3"/>
  <c r="B45" i="3"/>
  <c r="B46" i="3"/>
  <c r="B47" i="3"/>
  <c r="E76" i="3"/>
  <c r="E77" i="3"/>
  <c r="E78" i="3"/>
  <c r="E79" i="3"/>
  <c r="E80" i="3"/>
  <c r="E81" i="3"/>
  <c r="E82" i="3"/>
  <c r="E83" i="3"/>
  <c r="L18" i="12"/>
  <c r="L17" i="12"/>
  <c r="I27" i="12"/>
  <c r="I66" i="32"/>
  <c r="I33" i="12"/>
  <c r="I32" i="12"/>
  <c r="K33" i="12"/>
  <c r="K32" i="12"/>
  <c r="I28" i="12"/>
  <c r="I67" i="32"/>
  <c r="I31" i="12"/>
  <c r="I68" i="32"/>
  <c r="J27" i="12"/>
  <c r="J66" i="32"/>
  <c r="J32" i="12"/>
  <c r="J33" i="12"/>
  <c r="M9" i="15"/>
  <c r="K10" i="15"/>
  <c r="L15" i="8"/>
  <c r="L10" i="15"/>
  <c r="J10" i="15"/>
  <c r="J11" i="15"/>
  <c r="J17" i="8"/>
  <c r="J56" i="32"/>
  <c r="J75" i="32"/>
  <c r="I18" i="14"/>
  <c r="I12" i="14"/>
  <c r="N35" i="3"/>
  <c r="N37" i="3"/>
  <c r="K27" i="12"/>
  <c r="K66" i="32"/>
  <c r="O11" i="14"/>
  <c r="K59" i="32"/>
  <c r="M7" i="17"/>
  <c r="M10" i="17"/>
  <c r="N8" i="11"/>
  <c r="I10" i="34"/>
  <c r="K38" i="32"/>
  <c r="K43" i="32"/>
  <c r="I9" i="34"/>
  <c r="I19" i="3"/>
  <c r="J12" i="32"/>
  <c r="J13" i="32"/>
  <c r="J19" i="3"/>
  <c r="J22" i="3"/>
  <c r="I13" i="13"/>
  <c r="K14" i="12"/>
  <c r="N16" i="11"/>
  <c r="O8" i="14"/>
  <c r="O15" i="14"/>
  <c r="N15" i="14"/>
  <c r="N19" i="34"/>
  <c r="N14" i="3"/>
  <c r="O39" i="3"/>
  <c r="J53" i="32"/>
  <c r="J50" i="32"/>
  <c r="J63" i="32"/>
  <c r="J38" i="32"/>
  <c r="O24" i="16"/>
  <c r="P68" i="32"/>
  <c r="L3" i="32"/>
  <c r="K5" i="12"/>
  <c r="K5" i="34"/>
  <c r="K56" i="32"/>
  <c r="K70" i="32"/>
  <c r="M26" i="16"/>
  <c r="K28" i="12"/>
  <c r="K67" i="32"/>
  <c r="J13" i="13"/>
  <c r="L4" i="18"/>
  <c r="L27" i="18"/>
  <c r="L25" i="8"/>
  <c r="M19" i="34"/>
  <c r="I56" i="32"/>
  <c r="I75" i="32"/>
  <c r="J14" i="12"/>
  <c r="M7" i="28"/>
  <c r="E7" i="28"/>
  <c r="P10" i="16"/>
  <c r="P8" i="11"/>
  <c r="O8" i="11"/>
  <c r="C60" i="34"/>
  <c r="P40" i="34"/>
  <c r="O28" i="12"/>
  <c r="N67" i="32"/>
  <c r="P34" i="3"/>
  <c r="M8" i="3"/>
  <c r="I69" i="32"/>
  <c r="K32" i="8"/>
  <c r="I27" i="8"/>
  <c r="I31" i="8"/>
  <c r="K29" i="12"/>
  <c r="M6" i="32"/>
  <c r="M7" i="32"/>
  <c r="I10" i="32"/>
  <c r="I4" i="34"/>
  <c r="J28" i="12"/>
  <c r="J67" i="32"/>
  <c r="M7" i="14"/>
  <c r="M9" i="14"/>
  <c r="M7" i="13"/>
  <c r="M13" i="3"/>
  <c r="K9" i="32"/>
  <c r="K10" i="32"/>
  <c r="M7" i="34"/>
  <c r="L8" i="12"/>
  <c r="L4" i="12"/>
  <c r="L4" i="34"/>
  <c r="L4" i="16"/>
  <c r="I4" i="18"/>
  <c r="L4" i="17"/>
  <c r="L4" i="13"/>
  <c r="I4" i="15"/>
  <c r="I4" i="8"/>
  <c r="J68" i="32"/>
  <c r="I3" i="32"/>
  <c r="J9" i="34"/>
  <c r="J12" i="34"/>
  <c r="J69" i="32"/>
  <c r="J7" i="32"/>
  <c r="J16" i="15"/>
  <c r="K69" i="32"/>
  <c r="K68" i="32"/>
  <c r="M5" i="3"/>
  <c r="M5" i="15"/>
  <c r="I4" i="17"/>
  <c r="I4" i="13"/>
  <c r="I4" i="14"/>
  <c r="I4" i="16"/>
  <c r="I12" i="32"/>
  <c r="I29" i="12"/>
  <c r="K9" i="34"/>
  <c r="K12" i="34"/>
  <c r="K13" i="34"/>
  <c r="K14" i="34"/>
  <c r="K12" i="32"/>
  <c r="L5" i="13"/>
  <c r="K13" i="13"/>
  <c r="K5" i="16"/>
  <c r="K5" i="8"/>
  <c r="K4" i="32"/>
  <c r="J5" i="3"/>
  <c r="K5" i="18"/>
  <c r="K5" i="15"/>
  <c r="K5" i="17"/>
  <c r="J43" i="32"/>
  <c r="L11" i="15"/>
  <c r="J19" i="12"/>
  <c r="M8" i="15"/>
  <c r="I50" i="32"/>
  <c r="I63" i="32"/>
  <c r="L15" i="3"/>
  <c r="L19" i="3"/>
  <c r="L22" i="3"/>
  <c r="L9" i="32"/>
  <c r="L10" i="32"/>
  <c r="O66" i="32"/>
  <c r="P27" i="12"/>
  <c r="I62" i="32"/>
  <c r="I61" i="32"/>
  <c r="N26" i="16"/>
  <c r="O25" i="16"/>
  <c r="K19" i="12"/>
  <c r="I19" i="12"/>
  <c r="I21" i="12"/>
  <c r="P33" i="12"/>
  <c r="I43" i="32"/>
  <c r="L14" i="14"/>
  <c r="L18" i="14"/>
  <c r="K12" i="14"/>
  <c r="N7" i="3"/>
  <c r="M7" i="12"/>
  <c r="M17" i="12"/>
  <c r="M20" i="8"/>
  <c r="M10" i="15"/>
  <c r="J29" i="32"/>
  <c r="N7" i="17"/>
  <c r="N10" i="17"/>
  <c r="O7" i="17"/>
  <c r="O10" i="17"/>
  <c r="O12" i="17"/>
  <c r="M12" i="17"/>
  <c r="D77" i="3"/>
  <c r="F7" i="36"/>
  <c r="H7" i="36"/>
  <c r="L7" i="36"/>
  <c r="M5" i="14"/>
  <c r="L5" i="8"/>
  <c r="L5" i="14"/>
  <c r="L5" i="18"/>
  <c r="F28" i="36"/>
  <c r="F32" i="36"/>
  <c r="J32" i="8"/>
  <c r="K62" i="32"/>
  <c r="K63" i="32"/>
  <c r="N9" i="15"/>
  <c r="N16" i="8"/>
  <c r="M16" i="8"/>
  <c r="J21" i="12"/>
  <c r="J23" i="12"/>
  <c r="J8" i="13"/>
  <c r="K21" i="12"/>
  <c r="L27" i="3"/>
  <c r="L5" i="11"/>
  <c r="E57" i="3"/>
  <c r="L5" i="34"/>
  <c r="L5" i="15"/>
  <c r="L5" i="12"/>
  <c r="L5" i="16"/>
  <c r="L4" i="32"/>
  <c r="L5" i="17"/>
  <c r="H9" i="1"/>
  <c r="N9" i="3"/>
  <c r="N10" i="3"/>
  <c r="L16" i="12"/>
  <c r="L12" i="12"/>
  <c r="L9" i="8"/>
  <c r="L52" i="32"/>
  <c r="L15" i="15"/>
  <c r="L16" i="15"/>
  <c r="L18" i="15"/>
  <c r="I12" i="34"/>
  <c r="I13" i="34"/>
  <c r="M24" i="18"/>
  <c r="M14" i="15"/>
  <c r="J18" i="15"/>
  <c r="K11" i="15"/>
  <c r="K18" i="15"/>
  <c r="I70" i="32"/>
  <c r="I74" i="32"/>
  <c r="I32" i="8"/>
  <c r="M8" i="12"/>
  <c r="M16" i="12"/>
  <c r="O16" i="14"/>
  <c r="O11" i="34"/>
  <c r="O17" i="34"/>
  <c r="P11" i="14"/>
  <c r="O10" i="11"/>
  <c r="O35" i="3"/>
  <c r="O37" i="3"/>
  <c r="M5" i="18"/>
  <c r="M5" i="16"/>
  <c r="M11" i="3"/>
  <c r="M15" i="3"/>
  <c r="K61" i="32"/>
  <c r="H40" i="1"/>
  <c r="M13" i="17"/>
  <c r="J16" i="32"/>
  <c r="J17" i="32"/>
  <c r="K14" i="32"/>
  <c r="J44" i="32"/>
  <c r="J14" i="32"/>
  <c r="L34" i="18"/>
  <c r="L36" i="18"/>
  <c r="J29" i="12"/>
  <c r="M15" i="15"/>
  <c r="M16" i="15"/>
  <c r="K74" i="32"/>
  <c r="K75" i="32"/>
  <c r="J70" i="32"/>
  <c r="J74" i="32"/>
  <c r="M13" i="16"/>
  <c r="M10" i="18"/>
  <c r="M27" i="11"/>
  <c r="P24" i="16"/>
  <c r="J62" i="32"/>
  <c r="J61" i="32"/>
  <c r="P39" i="3"/>
  <c r="P14" i="3"/>
  <c r="O14" i="3"/>
  <c r="O19" i="34"/>
  <c r="P8" i="14"/>
  <c r="O16" i="11"/>
  <c r="M5" i="13"/>
  <c r="B24" i="1"/>
  <c r="M5" i="11"/>
  <c r="O67" i="32"/>
  <c r="P28" i="12"/>
  <c r="P67" i="32"/>
  <c r="N8" i="3"/>
  <c r="N5" i="3"/>
  <c r="N5" i="17"/>
  <c r="M5" i="17"/>
  <c r="M4" i="32"/>
  <c r="I30" i="32"/>
  <c r="K29" i="32"/>
  <c r="J33" i="32"/>
  <c r="J39" i="32"/>
  <c r="I16" i="32"/>
  <c r="I22" i="3"/>
  <c r="I25" i="3"/>
  <c r="I33" i="32"/>
  <c r="I39" i="32"/>
  <c r="M5" i="34"/>
  <c r="M5" i="8"/>
  <c r="M5" i="12"/>
  <c r="I44" i="32"/>
  <c r="I29" i="32"/>
  <c r="I13" i="32"/>
  <c r="K44" i="32"/>
  <c r="K13" i="32"/>
  <c r="K25" i="3"/>
  <c r="F30" i="36"/>
  <c r="K33" i="32"/>
  <c r="K39" i="32"/>
  <c r="K16" i="32"/>
  <c r="I5" i="3"/>
  <c r="J5" i="12"/>
  <c r="J5" i="13"/>
  <c r="J5" i="15"/>
  <c r="J5" i="34"/>
  <c r="J5" i="8"/>
  <c r="J5" i="17"/>
  <c r="J5" i="18"/>
  <c r="J5" i="14"/>
  <c r="J5" i="16"/>
  <c r="J4" i="32"/>
  <c r="J13" i="34"/>
  <c r="J14" i="34"/>
  <c r="N5" i="11"/>
  <c r="T14" i="33"/>
  <c r="N8" i="15"/>
  <c r="M15" i="8"/>
  <c r="F17" i="33"/>
  <c r="N12" i="17"/>
  <c r="B27" i="1"/>
  <c r="M11" i="15"/>
  <c r="N6" i="32"/>
  <c r="N13" i="3"/>
  <c r="O7" i="3"/>
  <c r="N7" i="13"/>
  <c r="N7" i="12"/>
  <c r="N17" i="12"/>
  <c r="N7" i="14"/>
  <c r="N9" i="14"/>
  <c r="N7" i="34"/>
  <c r="M11" i="12"/>
  <c r="N27" i="11"/>
  <c r="N13" i="16"/>
  <c r="N10" i="18"/>
  <c r="P66" i="32"/>
  <c r="M27" i="18"/>
  <c r="M34" i="18"/>
  <c r="M36" i="18"/>
  <c r="L14" i="8"/>
  <c r="M14" i="14"/>
  <c r="M18" i="14"/>
  <c r="L12" i="14"/>
  <c r="O9" i="15"/>
  <c r="O16" i="8"/>
  <c r="P25" i="16"/>
  <c r="O26" i="16"/>
  <c r="L9" i="34"/>
  <c r="L12" i="34"/>
  <c r="L12" i="32"/>
  <c r="P26" i="16"/>
  <c r="W24" i="33"/>
  <c r="M18" i="15"/>
  <c r="M11" i="11"/>
  <c r="N10" i="15"/>
  <c r="F20" i="33"/>
  <c r="T19" i="33"/>
  <c r="O5" i="3"/>
  <c r="O5" i="8"/>
  <c r="F7" i="33"/>
  <c r="N5" i="14"/>
  <c r="N5" i="15"/>
  <c r="N5" i="12"/>
  <c r="L11" i="11"/>
  <c r="L21" i="34"/>
  <c r="J26" i="32"/>
  <c r="J30" i="32"/>
  <c r="J12" i="13"/>
  <c r="J9" i="13"/>
  <c r="K23" i="12"/>
  <c r="K8" i="13"/>
  <c r="M18" i="12"/>
  <c r="M21" i="8"/>
  <c r="M12" i="12"/>
  <c r="M9" i="8"/>
  <c r="M52" i="32"/>
  <c r="K17" i="33"/>
  <c r="K16" i="33"/>
  <c r="J28" i="32"/>
  <c r="I14" i="34"/>
  <c r="M9" i="32"/>
  <c r="M10" i="32"/>
  <c r="K15" i="33"/>
  <c r="S14" i="33"/>
  <c r="U14" i="33"/>
  <c r="K14" i="33"/>
  <c r="F29" i="33"/>
  <c r="N5" i="13"/>
  <c r="N5" i="8"/>
  <c r="N5" i="16"/>
  <c r="N5" i="18"/>
  <c r="N4" i="32"/>
  <c r="N13" i="17"/>
  <c r="O13" i="17"/>
  <c r="P13" i="17"/>
  <c r="M14" i="17"/>
  <c r="O10" i="3"/>
  <c r="O9" i="3"/>
  <c r="O14" i="17"/>
  <c r="L19" i="12"/>
  <c r="L19" i="8"/>
  <c r="N14" i="15"/>
  <c r="G20" i="33"/>
  <c r="F22" i="33"/>
  <c r="O9" i="33"/>
  <c r="F30" i="33"/>
  <c r="N8" i="12"/>
  <c r="N16" i="12"/>
  <c r="P35" i="3"/>
  <c r="P37" i="3"/>
  <c r="P16" i="14"/>
  <c r="P11" i="34"/>
  <c r="P17" i="34"/>
  <c r="P10" i="11"/>
  <c r="G10" i="33"/>
  <c r="F28" i="33"/>
  <c r="O14" i="33"/>
  <c r="G17" i="33"/>
  <c r="I17" i="33"/>
  <c r="F15" i="33"/>
  <c r="F16" i="33"/>
  <c r="P7" i="17"/>
  <c r="P10" i="17"/>
  <c r="P12" i="17"/>
  <c r="K29" i="3"/>
  <c r="K30" i="3"/>
  <c r="N15" i="15"/>
  <c r="N16" i="15"/>
  <c r="N5" i="34"/>
  <c r="P16" i="11"/>
  <c r="P19" i="34"/>
  <c r="P15" i="14"/>
  <c r="O8" i="3"/>
  <c r="G8" i="33"/>
  <c r="G21" i="33"/>
  <c r="G16" i="33"/>
  <c r="F13" i="33"/>
  <c r="F9" i="33"/>
  <c r="F31" i="33"/>
  <c r="O24" i="33"/>
  <c r="F10" i="33"/>
  <c r="G22" i="33"/>
  <c r="F8" i="33"/>
  <c r="F21" i="33"/>
  <c r="O19" i="33"/>
  <c r="F14" i="33"/>
  <c r="J25" i="3"/>
  <c r="J40" i="3"/>
  <c r="I17" i="32"/>
  <c r="I28" i="32"/>
  <c r="J18" i="32"/>
  <c r="I40" i="3"/>
  <c r="K28" i="32"/>
  <c r="K18" i="32"/>
  <c r="K17" i="32"/>
  <c r="K40" i="3"/>
  <c r="G13" i="33"/>
  <c r="G9" i="33"/>
  <c r="P9" i="33"/>
  <c r="P19" i="33"/>
  <c r="G15" i="33"/>
  <c r="G30" i="33"/>
  <c r="G29" i="33"/>
  <c r="I5" i="16"/>
  <c r="I5" i="15"/>
  <c r="I5" i="8"/>
  <c r="I5" i="18"/>
  <c r="I5" i="34"/>
  <c r="I5" i="12"/>
  <c r="I5" i="14"/>
  <c r="I5" i="13"/>
  <c r="I5" i="17"/>
  <c r="I4" i="32"/>
  <c r="S19" i="33"/>
  <c r="U19" i="33"/>
  <c r="K29" i="33"/>
  <c r="U24" i="33"/>
  <c r="T9" i="33"/>
  <c r="S9" i="33"/>
  <c r="U9" i="33"/>
  <c r="K13" i="33"/>
  <c r="K30" i="33"/>
  <c r="O8" i="15"/>
  <c r="O10" i="15"/>
  <c r="N15" i="8"/>
  <c r="M19" i="8"/>
  <c r="L13" i="32"/>
  <c r="L14" i="32"/>
  <c r="O27" i="11"/>
  <c r="O13" i="16"/>
  <c r="O10" i="18"/>
  <c r="N14" i="14"/>
  <c r="N18" i="14"/>
  <c r="M14" i="8"/>
  <c r="M12" i="14"/>
  <c r="L16" i="32"/>
  <c r="L33" i="32"/>
  <c r="L13" i="34"/>
  <c r="L14" i="34"/>
  <c r="P27" i="11"/>
  <c r="P13" i="16"/>
  <c r="P10" i="18"/>
  <c r="P9" i="15"/>
  <c r="P16" i="8"/>
  <c r="P14" i="33"/>
  <c r="Q14" i="33"/>
  <c r="G14" i="33"/>
  <c r="N24" i="18"/>
  <c r="M25" i="8"/>
  <c r="O7" i="12"/>
  <c r="O17" i="12"/>
  <c r="O7" i="13"/>
  <c r="O6" i="32"/>
  <c r="O13" i="3"/>
  <c r="O7" i="34"/>
  <c r="P7" i="3"/>
  <c r="O7" i="14"/>
  <c r="O9" i="14"/>
  <c r="N7" i="32"/>
  <c r="N11" i="15"/>
  <c r="M12" i="32"/>
  <c r="M9" i="34"/>
  <c r="M19" i="3"/>
  <c r="M21" i="34"/>
  <c r="N11" i="12"/>
  <c r="O5" i="12"/>
  <c r="O5" i="16"/>
  <c r="N18" i="15"/>
  <c r="N11" i="11"/>
  <c r="O4" i="32"/>
  <c r="O5" i="11"/>
  <c r="M17" i="33"/>
  <c r="I20" i="33"/>
  <c r="I14" i="33"/>
  <c r="M14" i="33"/>
  <c r="O5" i="18"/>
  <c r="O5" i="34"/>
  <c r="O5" i="13"/>
  <c r="O5" i="15"/>
  <c r="O5" i="17"/>
  <c r="O5" i="14"/>
  <c r="P5" i="3"/>
  <c r="R3" i="3"/>
  <c r="I29" i="33"/>
  <c r="M29" i="33"/>
  <c r="K26" i="32"/>
  <c r="K30" i="32"/>
  <c r="K12" i="13"/>
  <c r="K9" i="13"/>
  <c r="O27" i="3"/>
  <c r="M27" i="3"/>
  <c r="N18" i="12"/>
  <c r="N21" i="8"/>
  <c r="P14" i="17"/>
  <c r="N12" i="12"/>
  <c r="N9" i="8"/>
  <c r="N52" i="32"/>
  <c r="N14" i="17"/>
  <c r="P9" i="3"/>
  <c r="P10" i="3"/>
  <c r="Q9" i="33"/>
  <c r="K26" i="33"/>
  <c r="I30" i="33"/>
  <c r="M30" i="33"/>
  <c r="O14" i="15"/>
  <c r="P14" i="15"/>
  <c r="I22" i="33"/>
  <c r="I15" i="33"/>
  <c r="M15" i="33"/>
  <c r="I16" i="33"/>
  <c r="M16" i="33"/>
  <c r="I10" i="33"/>
  <c r="O8" i="12"/>
  <c r="O16" i="12"/>
  <c r="O11" i="3"/>
  <c r="N11" i="3"/>
  <c r="I9" i="33"/>
  <c r="I13" i="33"/>
  <c r="M13" i="33"/>
  <c r="P8" i="3"/>
  <c r="F32" i="33"/>
  <c r="I21" i="33"/>
  <c r="Q19" i="33"/>
  <c r="I8" i="33"/>
  <c r="J29" i="3"/>
  <c r="J30" i="3"/>
  <c r="J30" i="16"/>
  <c r="J31" i="16"/>
  <c r="J20" i="32"/>
  <c r="I30" i="16"/>
  <c r="I31" i="16"/>
  <c r="I29" i="3"/>
  <c r="I30" i="3"/>
  <c r="I20" i="32"/>
  <c r="K20" i="32"/>
  <c r="K30" i="16"/>
  <c r="K31" i="16"/>
  <c r="O15" i="8"/>
  <c r="O11" i="15"/>
  <c r="P8" i="15"/>
  <c r="P6" i="32"/>
  <c r="P7" i="12"/>
  <c r="P17" i="12"/>
  <c r="P7" i="13"/>
  <c r="P7" i="14"/>
  <c r="P9" i="14"/>
  <c r="P7" i="34"/>
  <c r="P13" i="3"/>
  <c r="O7" i="32"/>
  <c r="O11" i="12"/>
  <c r="N12" i="14"/>
  <c r="O14" i="14"/>
  <c r="O18" i="14"/>
  <c r="N14" i="8"/>
  <c r="M58" i="32"/>
  <c r="M33" i="32"/>
  <c r="M16" i="32"/>
  <c r="M13" i="32"/>
  <c r="M14" i="32"/>
  <c r="N19" i="8"/>
  <c r="N27" i="18"/>
  <c r="N34" i="18"/>
  <c r="N36" i="18"/>
  <c r="L17" i="32"/>
  <c r="L18" i="32"/>
  <c r="N21" i="34"/>
  <c r="O15" i="15"/>
  <c r="O16" i="15"/>
  <c r="O18" i="15"/>
  <c r="G47" i="1"/>
  <c r="P5" i="11"/>
  <c r="P5" i="13"/>
  <c r="P5" i="18"/>
  <c r="P5" i="14"/>
  <c r="P5" i="17"/>
  <c r="P5" i="12"/>
  <c r="H47" i="1"/>
  <c r="P5" i="34"/>
  <c r="R7" i="34"/>
  <c r="F47" i="1"/>
  <c r="P5" i="8"/>
  <c r="P5" i="16"/>
  <c r="P5" i="15"/>
  <c r="P4" i="32"/>
  <c r="N27" i="3"/>
  <c r="P27" i="3"/>
  <c r="R27" i="3"/>
  <c r="O18" i="12"/>
  <c r="O21" i="8"/>
  <c r="O12" i="12"/>
  <c r="O9" i="8"/>
  <c r="O52" i="32"/>
  <c r="I25" i="33"/>
  <c r="P15" i="8"/>
  <c r="P10" i="15"/>
  <c r="P11" i="15"/>
  <c r="I11" i="33"/>
  <c r="I24" i="33"/>
  <c r="P8" i="12"/>
  <c r="P16" i="12"/>
  <c r="N9" i="32"/>
  <c r="N10" i="32"/>
  <c r="N15" i="3"/>
  <c r="R7" i="3"/>
  <c r="P15" i="15"/>
  <c r="P16" i="15"/>
  <c r="J73" i="32"/>
  <c r="J76" i="32"/>
  <c r="J21" i="32"/>
  <c r="I73" i="32"/>
  <c r="I76" i="32"/>
  <c r="I21" i="32"/>
  <c r="J22" i="32"/>
  <c r="K22" i="32"/>
  <c r="K73" i="32"/>
  <c r="K76" i="32"/>
  <c r="K21" i="32"/>
  <c r="O9" i="32"/>
  <c r="O10" i="32"/>
  <c r="O15" i="3"/>
  <c r="N58" i="32"/>
  <c r="M17" i="32"/>
  <c r="M18" i="32"/>
  <c r="P7" i="32"/>
  <c r="R6" i="32"/>
  <c r="N25" i="8"/>
  <c r="O24" i="18"/>
  <c r="P14" i="14"/>
  <c r="P18" i="14"/>
  <c r="O14" i="8"/>
  <c r="O12" i="14"/>
  <c r="P11" i="12"/>
  <c r="O19" i="8"/>
  <c r="P18" i="15"/>
  <c r="P11" i="11"/>
  <c r="F47" i="34"/>
  <c r="F48" i="34"/>
  <c r="R4" i="34"/>
  <c r="F32" i="34"/>
  <c r="E71" i="3"/>
  <c r="R3" i="32"/>
  <c r="O21" i="34"/>
  <c r="O11" i="11"/>
  <c r="I26" i="33"/>
  <c r="M26" i="33"/>
  <c r="P12" i="12"/>
  <c r="P9" i="8"/>
  <c r="P52" i="32"/>
  <c r="P18" i="12"/>
  <c r="P21" i="8"/>
  <c r="P11" i="3"/>
  <c r="P15" i="3"/>
  <c r="P19" i="3"/>
  <c r="N9" i="34"/>
  <c r="N19" i="3"/>
  <c r="N12" i="32"/>
  <c r="P21" i="34"/>
  <c r="O58" i="32"/>
  <c r="P12" i="14"/>
  <c r="P14" i="8"/>
  <c r="O27" i="18"/>
  <c r="O34" i="18"/>
  <c r="O36" i="18"/>
  <c r="P19" i="8"/>
  <c r="O12" i="32"/>
  <c r="O9" i="34"/>
  <c r="O19" i="3"/>
  <c r="F49" i="1"/>
  <c r="P9" i="34"/>
  <c r="P33" i="34"/>
  <c r="P34" i="34"/>
  <c r="R11" i="3"/>
  <c r="R15" i="3"/>
  <c r="P12" i="32"/>
  <c r="P13" i="32"/>
  <c r="P9" i="32"/>
  <c r="N14" i="32"/>
  <c r="N13" i="32"/>
  <c r="N16" i="32"/>
  <c r="N33" i="32"/>
  <c r="O16" i="32"/>
  <c r="O33" i="32"/>
  <c r="O14" i="32"/>
  <c r="O13" i="32"/>
  <c r="P58" i="32"/>
  <c r="P16" i="32"/>
  <c r="G49" i="1"/>
  <c r="R19" i="3"/>
  <c r="P33" i="32"/>
  <c r="P24" i="18"/>
  <c r="O25" i="8"/>
  <c r="P14" i="32"/>
  <c r="R9" i="34"/>
  <c r="P45" i="34"/>
  <c r="J48" i="34"/>
  <c r="R12" i="32"/>
  <c r="R9" i="32"/>
  <c r="P10" i="32"/>
  <c r="N18" i="32"/>
  <c r="N17" i="32"/>
  <c r="P27" i="18"/>
  <c r="P25" i="8"/>
  <c r="P17" i="32"/>
  <c r="P18" i="32"/>
  <c r="R16" i="32"/>
  <c r="O18" i="32"/>
  <c r="O17" i="32"/>
  <c r="P34" i="18"/>
  <c r="P36" i="18"/>
  <c r="G7" i="33"/>
  <c r="I7" i="33"/>
  <c r="K7" i="33"/>
  <c r="K32" i="33"/>
  <c r="P24" i="33"/>
  <c r="Q24" i="33"/>
  <c r="S24" i="33"/>
  <c r="X24" i="33"/>
  <c r="K31" i="33"/>
  <c r="T24" i="33"/>
  <c r="V24" i="33"/>
  <c r="G28" i="33"/>
  <c r="I28" i="33"/>
  <c r="K28" i="33"/>
  <c r="G31" i="33"/>
  <c r="I31" i="33"/>
  <c r="G32" i="33"/>
  <c r="C5" i="33"/>
  <c r="M7" i="33"/>
  <c r="M28" i="33"/>
  <c r="I32" i="33"/>
  <c r="M31" i="33"/>
  <c r="F34" i="33"/>
  <c r="F33" i="33"/>
  <c r="L25" i="32"/>
  <c r="L28" i="32"/>
  <c r="L24" i="3"/>
  <c r="L25" i="3"/>
  <c r="O12" i="36"/>
  <c r="L29" i="3"/>
  <c r="B3" i="2"/>
  <c r="B8" i="2"/>
  <c r="F31" i="36"/>
  <c r="L7" i="11"/>
  <c r="L12" i="11"/>
  <c r="F59" i="3"/>
  <c r="L29" i="32"/>
  <c r="L34" i="32"/>
  <c r="L9" i="16"/>
  <c r="L30" i="16"/>
  <c r="L29" i="16"/>
  <c r="L20" i="32"/>
  <c r="B15" i="2"/>
  <c r="I59" i="3"/>
  <c r="E74" i="3"/>
  <c r="L12" i="16"/>
  <c r="L9" i="18"/>
  <c r="L26" i="11"/>
  <c r="L30" i="3"/>
  <c r="L17" i="16"/>
  <c r="L19" i="16"/>
  <c r="L21" i="16"/>
  <c r="L25" i="11"/>
  <c r="L22" i="32"/>
  <c r="L73" i="32"/>
  <c r="L21" i="32"/>
  <c r="L11" i="16"/>
  <c r="L16" i="13"/>
  <c r="L14" i="16"/>
  <c r="L8" i="18"/>
  <c r="L29" i="8"/>
  <c r="F29" i="36"/>
  <c r="M8" i="16"/>
  <c r="L22" i="11"/>
  <c r="L28" i="11"/>
  <c r="L21" i="18"/>
  <c r="M19" i="18"/>
  <c r="F33" i="36"/>
  <c r="O13" i="36"/>
  <c r="O10" i="36"/>
  <c r="L37" i="32"/>
  <c r="L24" i="8"/>
  <c r="L30" i="18"/>
  <c r="L32" i="18"/>
  <c r="L38" i="18"/>
  <c r="L36" i="32"/>
  <c r="L44" i="32"/>
  <c r="L38" i="32"/>
  <c r="L43" i="32"/>
  <c r="L39" i="32"/>
  <c r="M22" i="3"/>
  <c r="N22" i="3"/>
  <c r="N24" i="3"/>
  <c r="N34" i="32"/>
  <c r="O22" i="3"/>
  <c r="O24" i="3"/>
  <c r="O34" i="32"/>
  <c r="P22" i="3"/>
  <c r="R22" i="3"/>
  <c r="M25" i="32"/>
  <c r="M29" i="32"/>
  <c r="N25" i="32"/>
  <c r="O25" i="32"/>
  <c r="O28" i="32"/>
  <c r="P25" i="32"/>
  <c r="P28" i="32"/>
  <c r="M28" i="32"/>
  <c r="O29" i="32"/>
  <c r="P29" i="32"/>
  <c r="N29" i="32"/>
  <c r="N28" i="32"/>
  <c r="M24" i="3"/>
  <c r="M34" i="32"/>
  <c r="P24" i="3"/>
  <c r="P34" i="32"/>
  <c r="O25" i="3"/>
  <c r="N25" i="3"/>
  <c r="O7" i="11"/>
  <c r="E3" i="2"/>
  <c r="E8" i="2"/>
  <c r="E15" i="2"/>
  <c r="N29" i="3"/>
  <c r="N30" i="3"/>
  <c r="D3" i="2"/>
  <c r="D8" i="2"/>
  <c r="D15" i="2"/>
  <c r="O29" i="3"/>
  <c r="O30" i="3"/>
  <c r="P25" i="3"/>
  <c r="P20" i="32"/>
  <c r="P73" i="32"/>
  <c r="N17" i="16"/>
  <c r="N19" i="16"/>
  <c r="N21" i="16"/>
  <c r="N11" i="16"/>
  <c r="N8" i="18"/>
  <c r="M25" i="3"/>
  <c r="O20" i="32"/>
  <c r="O21" i="32"/>
  <c r="O9" i="16"/>
  <c r="O30" i="16"/>
  <c r="O29" i="16"/>
  <c r="O12" i="16"/>
  <c r="O9" i="18"/>
  <c r="N9" i="16"/>
  <c r="N7" i="11"/>
  <c r="N30" i="16"/>
  <c r="N29" i="16"/>
  <c r="N12" i="16"/>
  <c r="N9" i="18"/>
  <c r="N20" i="32"/>
  <c r="M30" i="16"/>
  <c r="M29" i="16"/>
  <c r="M26" i="11"/>
  <c r="C3" i="2"/>
  <c r="C8" i="2"/>
  <c r="C15" i="2"/>
  <c r="R25" i="3"/>
  <c r="F3" i="2"/>
  <c r="O17" i="16"/>
  <c r="O19" i="16"/>
  <c r="O21" i="16"/>
  <c r="O25" i="11"/>
  <c r="P29" i="3"/>
  <c r="P30" i="3"/>
  <c r="P9" i="16"/>
  <c r="P30" i="16"/>
  <c r="P29" i="16"/>
  <c r="P12" i="16"/>
  <c r="P9" i="18"/>
  <c r="P7" i="11"/>
  <c r="M20" i="32"/>
  <c r="N22" i="32"/>
  <c r="M9" i="16"/>
  <c r="O26" i="11"/>
  <c r="O73" i="32"/>
  <c r="O22" i="32"/>
  <c r="M7" i="11"/>
  <c r="N25" i="11"/>
  <c r="M29" i="3"/>
  <c r="M30" i="3"/>
  <c r="N16" i="13"/>
  <c r="N26" i="11"/>
  <c r="N73" i="32"/>
  <c r="N21" i="32"/>
  <c r="P22" i="32"/>
  <c r="R20" i="32"/>
  <c r="P21" i="32"/>
  <c r="M73" i="32"/>
  <c r="P26" i="11"/>
  <c r="H49" i="1"/>
  <c r="M12" i="16"/>
  <c r="M9" i="18"/>
  <c r="F8" i="2"/>
  <c r="F15" i="2"/>
  <c r="O11" i="16"/>
  <c r="R29" i="3"/>
  <c r="P17" i="16"/>
  <c r="P19" i="16"/>
  <c r="P21" i="16"/>
  <c r="M22" i="32"/>
  <c r="M21" i="32"/>
  <c r="M17" i="16"/>
  <c r="M19" i="16"/>
  <c r="M21" i="16"/>
  <c r="G15" i="2"/>
  <c r="G18" i="2"/>
  <c r="G21" i="2"/>
  <c r="D27" i="2"/>
  <c r="O8" i="18"/>
  <c r="O16" i="13"/>
  <c r="P11" i="16"/>
  <c r="P25" i="11"/>
  <c r="M25" i="11"/>
  <c r="M11" i="16"/>
  <c r="M22" i="11"/>
  <c r="M21" i="18"/>
  <c r="M28" i="11"/>
  <c r="P8" i="18"/>
  <c r="P16" i="13"/>
  <c r="M16" i="13"/>
  <c r="M8" i="18"/>
  <c r="M14" i="16"/>
  <c r="M24" i="8"/>
  <c r="M30" i="18"/>
  <c r="M32" i="18"/>
  <c r="M38" i="18"/>
  <c r="N19" i="18"/>
  <c r="M29" i="8"/>
  <c r="M37" i="32"/>
  <c r="N8" i="16"/>
  <c r="N14" i="16"/>
  <c r="N22" i="11"/>
  <c r="N28" i="11"/>
  <c r="M36" i="32"/>
  <c r="O8" i="16"/>
  <c r="O14" i="16"/>
  <c r="N29" i="8"/>
  <c r="N37" i="32"/>
  <c r="N21" i="18"/>
  <c r="N24" i="8"/>
  <c r="N36" i="32"/>
  <c r="M38" i="32"/>
  <c r="M44" i="32"/>
  <c r="O29" i="8"/>
  <c r="O37" i="32"/>
  <c r="P8" i="16"/>
  <c r="P14" i="16"/>
  <c r="P29" i="8"/>
  <c r="P37" i="32"/>
  <c r="N30" i="18"/>
  <c r="N32" i="18"/>
  <c r="N38" i="18"/>
  <c r="O19" i="18"/>
  <c r="O22" i="11"/>
  <c r="O28" i="11"/>
  <c r="M39" i="32"/>
  <c r="M43" i="32"/>
  <c r="N44" i="32"/>
  <c r="N38" i="32"/>
  <c r="O21" i="18"/>
  <c r="O30" i="18"/>
  <c r="O32" i="18"/>
  <c r="O38" i="18"/>
  <c r="N39" i="32"/>
  <c r="N43" i="32"/>
  <c r="P19" i="18"/>
  <c r="P22" i="11"/>
  <c r="P28" i="11"/>
  <c r="O24" i="8"/>
  <c r="P21" i="18"/>
  <c r="P24" i="8"/>
  <c r="O36" i="32"/>
  <c r="O38" i="32"/>
  <c r="O43" i="32"/>
  <c r="P36" i="32"/>
  <c r="P44" i="32"/>
  <c r="P30" i="18"/>
  <c r="P32" i="18"/>
  <c r="P38" i="18"/>
  <c r="O39" i="32"/>
  <c r="O44" i="32"/>
  <c r="P38" i="32"/>
  <c r="P43" i="32"/>
  <c r="P39" i="32"/>
  <c r="L58" i="32"/>
  <c r="H20" i="1"/>
  <c r="L20" i="8"/>
  <c r="M22" i="8"/>
  <c r="M27" i="8"/>
  <c r="N20" i="8"/>
  <c r="N22" i="8"/>
  <c r="N27" i="8"/>
  <c r="O20" i="8"/>
  <c r="O22" i="8"/>
  <c r="O27" i="8"/>
  <c r="P20" i="8"/>
  <c r="P22" i="8"/>
  <c r="P27" i="8"/>
  <c r="M19" i="12"/>
  <c r="O19" i="12"/>
  <c r="P31" i="8"/>
  <c r="P59" i="32"/>
  <c r="N31" i="8"/>
  <c r="N59" i="32"/>
  <c r="O31" i="8"/>
  <c r="O59" i="32"/>
  <c r="M31" i="8"/>
  <c r="M59" i="32"/>
  <c r="P19" i="12"/>
  <c r="N19" i="12"/>
  <c r="L21" i="8"/>
  <c r="L22" i="8"/>
  <c r="L59" i="32"/>
  <c r="L27" i="8"/>
  <c r="L31" i="8"/>
  <c r="L19" i="13"/>
  <c r="L13" i="8"/>
  <c r="L13" i="12"/>
  <c r="L13" i="13"/>
  <c r="M15" i="13"/>
  <c r="M19" i="13"/>
  <c r="L14" i="12"/>
  <c r="L55" i="32"/>
  <c r="L69" i="32"/>
  <c r="M13" i="8"/>
  <c r="N15" i="13"/>
  <c r="N19" i="13"/>
  <c r="L21" i="12"/>
  <c r="L23" i="12"/>
  <c r="L8" i="13"/>
  <c r="L15" i="11"/>
  <c r="L17" i="11"/>
  <c r="L19" i="11"/>
  <c r="L30" i="11"/>
  <c r="N13" i="8"/>
  <c r="O15" i="13"/>
  <c r="O19" i="13"/>
  <c r="M55" i="32"/>
  <c r="M69" i="32"/>
  <c r="M13" i="12"/>
  <c r="L29" i="12"/>
  <c r="H18" i="1"/>
  <c r="N13" i="12"/>
  <c r="N55" i="32"/>
  <c r="N69" i="32"/>
  <c r="M29" i="12"/>
  <c r="M14" i="12"/>
  <c r="M21" i="12"/>
  <c r="O13" i="8"/>
  <c r="P15" i="13"/>
  <c r="P19" i="13"/>
  <c r="B17" i="2"/>
  <c r="H23" i="1"/>
  <c r="L12" i="13"/>
  <c r="L26" i="32"/>
  <c r="L30" i="32"/>
  <c r="L18" i="34"/>
  <c r="L9" i="13"/>
  <c r="P13" i="8"/>
  <c r="O55" i="32"/>
  <c r="O69" i="32"/>
  <c r="O13" i="12"/>
  <c r="N14" i="12"/>
  <c r="N21" i="12"/>
  <c r="N23" i="12"/>
  <c r="N29" i="12"/>
  <c r="L20" i="34"/>
  <c r="M23" i="12"/>
  <c r="B18" i="2"/>
  <c r="B21" i="2"/>
  <c r="N8" i="13"/>
  <c r="N15" i="11"/>
  <c r="N17" i="11"/>
  <c r="D17" i="2"/>
  <c r="M8" i="13"/>
  <c r="M26" i="32"/>
  <c r="M30" i="32"/>
  <c r="C17" i="2"/>
  <c r="C18" i="2"/>
  <c r="C21" i="2"/>
  <c r="L23" i="34"/>
  <c r="M20" i="34"/>
  <c r="O29" i="12"/>
  <c r="O14" i="12"/>
  <c r="O21" i="12"/>
  <c r="P55" i="32"/>
  <c r="P69" i="32"/>
  <c r="P13" i="12"/>
  <c r="N20" i="34"/>
  <c r="N11" i="13"/>
  <c r="N9" i="11"/>
  <c r="D18" i="2"/>
  <c r="D21" i="2"/>
  <c r="N18" i="34"/>
  <c r="N26" i="32"/>
  <c r="N30" i="32"/>
  <c r="M18" i="34"/>
  <c r="M11" i="13"/>
  <c r="M9" i="11"/>
  <c r="M15" i="11"/>
  <c r="M17" i="11"/>
  <c r="L7" i="18"/>
  <c r="L13" i="18"/>
  <c r="L16" i="18"/>
  <c r="P14" i="12"/>
  <c r="P21" i="12"/>
  <c r="P23" i="12"/>
  <c r="P29" i="12"/>
  <c r="O23" i="12"/>
  <c r="N10" i="34"/>
  <c r="N16" i="34"/>
  <c r="N13" i="13"/>
  <c r="M10" i="34"/>
  <c r="M12" i="34"/>
  <c r="M13" i="34"/>
  <c r="M14" i="34"/>
  <c r="M13" i="13"/>
  <c r="N12" i="11"/>
  <c r="N19" i="11"/>
  <c r="N30" i="11"/>
  <c r="M12" i="11"/>
  <c r="M19" i="11"/>
  <c r="P8" i="13"/>
  <c r="P15" i="11"/>
  <c r="P17" i="11"/>
  <c r="F17" i="2"/>
  <c r="F18" i="2"/>
  <c r="F21" i="2"/>
  <c r="O8" i="13"/>
  <c r="O15" i="11"/>
  <c r="O17" i="11"/>
  <c r="E17" i="2"/>
  <c r="E18" i="2"/>
  <c r="E21" i="2"/>
  <c r="M16" i="34"/>
  <c r="O20" i="34"/>
  <c r="P20" i="34"/>
  <c r="N12" i="34"/>
  <c r="N13" i="34"/>
  <c r="N14" i="34"/>
  <c r="N23" i="34"/>
  <c r="D26" i="2"/>
  <c r="D32" i="2"/>
  <c r="D36" i="2"/>
  <c r="P26" i="32"/>
  <c r="P30" i="32"/>
  <c r="O26" i="32"/>
  <c r="O30" i="32"/>
  <c r="P18" i="34"/>
  <c r="P11" i="13"/>
  <c r="P9" i="11"/>
  <c r="O18" i="34"/>
  <c r="O11" i="13"/>
  <c r="O9" i="11"/>
  <c r="M30" i="11"/>
  <c r="M7" i="18"/>
  <c r="N7" i="18"/>
  <c r="M23" i="34"/>
  <c r="M24" i="34"/>
  <c r="P10" i="34"/>
  <c r="P12" i="34"/>
  <c r="O10" i="34"/>
  <c r="O16" i="34"/>
  <c r="P13" i="13"/>
  <c r="O13" i="13"/>
  <c r="J41" i="2"/>
  <c r="O12" i="11"/>
  <c r="O19" i="11"/>
  <c r="O30" i="11"/>
  <c r="P12" i="11"/>
  <c r="P19" i="11"/>
  <c r="P30" i="11"/>
  <c r="N24" i="34"/>
  <c r="P16" i="34"/>
  <c r="B53" i="2"/>
  <c r="O12" i="34"/>
  <c r="O13" i="34"/>
  <c r="O14" i="34"/>
  <c r="O23" i="34"/>
  <c r="O24" i="34"/>
  <c r="P7" i="18"/>
  <c r="O7" i="18"/>
  <c r="R12" i="34"/>
  <c r="P13" i="34"/>
  <c r="P14" i="34"/>
  <c r="P23" i="34"/>
  <c r="P30" i="34"/>
  <c r="P36" i="34"/>
  <c r="P38" i="34"/>
  <c r="P42" i="34"/>
  <c r="G94" i="34"/>
  <c r="J45" i="34"/>
  <c r="P24" i="34"/>
  <c r="P48" i="34"/>
  <c r="J33" i="34"/>
  <c r="J34" i="34"/>
  <c r="C57" i="34"/>
  <c r="J30" i="34"/>
  <c r="P49" i="34"/>
  <c r="P50" i="34"/>
  <c r="J49" i="34"/>
  <c r="J50" i="34"/>
  <c r="J36" i="34"/>
  <c r="J38" i="34"/>
  <c r="J42" i="34"/>
  <c r="G72" i="34"/>
  <c r="L32" i="11"/>
  <c r="L8" i="8"/>
  <c r="L49" i="32"/>
  <c r="M31" i="11"/>
  <c r="L40" i="18"/>
  <c r="L42" i="18"/>
  <c r="L48" i="32"/>
  <c r="L11" i="8"/>
  <c r="M11" i="18"/>
  <c r="M13" i="18"/>
  <c r="M16" i="18"/>
  <c r="L50" i="32"/>
  <c r="L63" i="32"/>
  <c r="L17" i="8"/>
  <c r="O9" i="36"/>
  <c r="L53" i="32"/>
  <c r="O7" i="36"/>
  <c r="L62" i="32"/>
  <c r="L61" i="32"/>
  <c r="L56" i="32"/>
  <c r="L32" i="8"/>
  <c r="L70" i="32"/>
  <c r="L75" i="32"/>
  <c r="L74" i="32"/>
  <c r="L76" i="32"/>
  <c r="N11" i="18"/>
  <c r="N13" i="18"/>
  <c r="N16" i="18"/>
  <c r="M40" i="18"/>
  <c r="M42" i="18"/>
  <c r="M48" i="32"/>
  <c r="O11" i="18"/>
  <c r="P11" i="18"/>
  <c r="P13" i="18"/>
  <c r="P16" i="18"/>
  <c r="O13" i="18"/>
  <c r="O16" i="18"/>
  <c r="N40" i="18"/>
  <c r="N42" i="18"/>
  <c r="O40" i="18"/>
  <c r="O42" i="18"/>
  <c r="P40" i="18"/>
  <c r="P42" i="18"/>
  <c r="N48" i="32"/>
  <c r="O48" i="32"/>
  <c r="P48" i="32"/>
  <c r="M32" i="11"/>
  <c r="M8" i="8"/>
  <c r="M11" i="8"/>
  <c r="N31" i="11"/>
  <c r="M49" i="32"/>
  <c r="M50" i="32"/>
  <c r="M63" i="32"/>
  <c r="M53" i="32"/>
  <c r="M17" i="8"/>
  <c r="M56" i="32"/>
  <c r="M32" i="8"/>
  <c r="M61" i="32"/>
  <c r="M62" i="32"/>
  <c r="M70" i="32"/>
  <c r="M74" i="32"/>
  <c r="M75" i="32"/>
  <c r="N32" i="11"/>
  <c r="O31" i="11"/>
  <c r="O32" i="11"/>
  <c r="O8" i="8"/>
  <c r="N8" i="8"/>
  <c r="M76" i="32"/>
  <c r="P31" i="11"/>
  <c r="P32" i="11"/>
  <c r="P8" i="8"/>
  <c r="P11" i="8"/>
  <c r="O11" i="8"/>
  <c r="O49" i="32"/>
  <c r="O50" i="32"/>
  <c r="O63" i="32"/>
  <c r="N11" i="8"/>
  <c r="N49" i="32"/>
  <c r="N50" i="32"/>
  <c r="N63" i="32"/>
  <c r="P49" i="32"/>
  <c r="P50" i="32"/>
  <c r="P63" i="32"/>
  <c r="P17" i="8"/>
  <c r="P53" i="32"/>
  <c r="N17" i="8"/>
  <c r="N53" i="32"/>
  <c r="O53" i="32"/>
  <c r="O17" i="8"/>
  <c r="O61" i="32"/>
  <c r="O62" i="32"/>
  <c r="N56" i="32"/>
  <c r="N32" i="8"/>
  <c r="P56" i="32"/>
  <c r="P32" i="8"/>
  <c r="O32" i="8"/>
  <c r="O56" i="32"/>
  <c r="N62" i="32"/>
  <c r="N61" i="32"/>
  <c r="P62" i="32"/>
  <c r="P61" i="32"/>
  <c r="P70" i="32"/>
  <c r="P74" i="32"/>
  <c r="P75" i="32"/>
  <c r="N70" i="32"/>
  <c r="N75" i="32"/>
  <c r="N74" i="32"/>
  <c r="O74" i="32"/>
  <c r="O70" i="32"/>
  <c r="O75" i="32"/>
  <c r="O76" i="32"/>
  <c r="N76" i="32"/>
  <c r="P76" i="32"/>
  <c r="H41" i="19"/>
  <c r="H55" i="19"/>
  <c r="H57" i="19"/>
  <c r="H26" i="19"/>
  <c r="H29" i="19"/>
  <c r="H35" i="1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9" authorId="0" shapeId="0" xr:uid="{00000000-0006-0000-0400-000001000000}">
      <text>
        <r>
          <rPr>
            <b/>
            <sz val="9"/>
            <color indexed="81"/>
            <rFont val="Arial"/>
            <family val="2"/>
          </rPr>
          <t>Training the Street:</t>
        </r>
        <r>
          <rPr>
            <sz val="9"/>
            <color indexed="81"/>
            <rFont val="Arial"/>
            <family val="2"/>
          </rPr>
          <t xml:space="preserve">
Source: Campbell 2009 10-K, pg 51:  excludes $5mm of restructuring charges </t>
        </r>
      </text>
    </comment>
    <comment ref="K10" authorId="0" shapeId="0" xr:uid="{00000000-0006-0000-0400-000002000000}">
      <text>
        <r>
          <rPr>
            <b/>
            <sz val="9"/>
            <color indexed="81"/>
            <rFont val="Arial"/>
            <family val="2"/>
          </rPr>
          <t>Training the Street:</t>
        </r>
        <r>
          <rPr>
            <sz val="9"/>
            <color indexed="81"/>
            <rFont val="Arial"/>
            <family val="2"/>
          </rPr>
          <t xml:space="preserve">
Source: Campbell 2009 10-K, pg 51:  excludes $5mm of restructuring charges </t>
        </r>
      </text>
    </comment>
    <comment ref="AC12" authorId="1" shapeId="0" xr:uid="{00000000-0006-0000-0400-000003000000}">
      <text>
        <r>
          <rPr>
            <b/>
            <sz val="9"/>
            <color indexed="81"/>
            <rFont val="Tahoma"/>
            <family val="2"/>
          </rPr>
          <t>Training The Street:</t>
        </r>
        <r>
          <rPr>
            <sz val="9"/>
            <color indexed="81"/>
            <rFont val="Tahoma"/>
            <family val="2"/>
          </rPr>
          <t xml:space="preserve">
Source: Campbell 2009 10-K, pg 22: "restructuring charge of $175 million ($102 million after tax or
$.27 per share) and approximately $7 million
($5 million after tax) related primarily representing accelerated depreciation on property, plant and equipment"</t>
        </r>
      </text>
    </comment>
    <comment ref="I14" authorId="1" shapeId="0" xr:uid="{00000000-0006-0000-0400-000004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J14" authorId="1" shapeId="0" xr:uid="{00000000-0006-0000-0400-000005000000}">
      <text>
        <r>
          <rPr>
            <b/>
            <sz val="9"/>
            <color indexed="81"/>
            <rFont val="Tahoma"/>
            <family val="2"/>
          </rPr>
          <t>Training The Street:</t>
        </r>
        <r>
          <rPr>
            <sz val="9"/>
            <color indexed="81"/>
            <rFont val="Tahoma"/>
            <family val="2"/>
          </rPr>
          <t xml:space="preserve">
Source: Campbell 2008 10-K, pg 16 &amp; 73 .  Excludes $23mm Gain on sale of  facility, $3mm Gain from the sale of business and $10 Gain from settlement</t>
        </r>
      </text>
    </comment>
    <comment ref="K14" authorId="1" shapeId="0" xr:uid="{00000000-0006-0000-0400-000006000000}">
      <text>
        <r>
          <rPr>
            <b/>
            <sz val="9"/>
            <color indexed="81"/>
            <rFont val="Tahoma"/>
            <family val="2"/>
          </rPr>
          <t xml:space="preserve">Training The Street:
</t>
        </r>
        <r>
          <rPr>
            <sz val="9"/>
            <color indexed="81"/>
            <rFont val="Tahoma"/>
            <family val="2"/>
          </rPr>
          <t xml:space="preserve">Source: Campbell 2009 10-K, pg 15  Excludes $67mm impairment Charge
</t>
        </r>
      </text>
    </comment>
    <comment ref="I17" authorId="0" shapeId="0" xr:uid="{00000000-0006-0000-0400-000007000000}">
      <text>
        <r>
          <rPr>
            <b/>
            <sz val="9"/>
            <color indexed="81"/>
            <rFont val="Arial"/>
            <family val="2"/>
          </rPr>
          <t>Training the Street:</t>
        </r>
        <r>
          <rPr>
            <sz val="9"/>
            <color indexed="81"/>
            <rFont val="Arial"/>
            <family val="2"/>
          </rPr>
          <t xml:space="preserve">
Source: Campbell 2009 10-K, pg 71, Note 16: "Depreciation expense of continuing operations was  $263 in 2007 </t>
        </r>
      </text>
    </comment>
    <comment ref="J17" authorId="0" shapeId="0" xr:uid="{00000000-0006-0000-0400-000008000000}">
      <text>
        <r>
          <rPr>
            <b/>
            <sz val="9"/>
            <color indexed="81"/>
            <rFont val="Arial"/>
            <family val="2"/>
          </rPr>
          <t>Training the Street:</t>
        </r>
        <r>
          <rPr>
            <sz val="9"/>
            <color indexed="81"/>
            <rFont val="Arial"/>
            <family val="2"/>
          </rPr>
          <t xml:space="preserve">
Source: Campbell 2009 10-K, pg 71, Note 16: "Depreciation expense of continuing operations was  $271 in 2008.
Pg 15:  excludes $7mm of accelerated depreciation</t>
        </r>
      </text>
    </comment>
    <comment ref="K17" authorId="0" shapeId="0" xr:uid="{00000000-0006-0000-0400-000009000000}">
      <text>
        <r>
          <rPr>
            <b/>
            <sz val="9"/>
            <color indexed="81"/>
            <rFont val="Arial"/>
            <family val="2"/>
          </rPr>
          <t>Training the Street:</t>
        </r>
        <r>
          <rPr>
            <sz val="9"/>
            <color indexed="81"/>
            <rFont val="Arial"/>
            <family val="2"/>
          </rPr>
          <t xml:space="preserve">
Source: Campbell 2009 10-K, pg 51:  excludes $17mm of accelerated depreciation</t>
        </r>
      </text>
    </comment>
    <comment ref="K18" authorId="0" shapeId="0" xr:uid="{00000000-0006-0000-0400-00000A000000}">
      <text>
        <r>
          <rPr>
            <b/>
            <sz val="9"/>
            <color indexed="81"/>
            <rFont val="Arial"/>
            <family val="2"/>
          </rPr>
          <t>Training the Street:</t>
        </r>
        <r>
          <rPr>
            <sz val="9"/>
            <color indexed="81"/>
            <rFont val="Arial"/>
            <family val="2"/>
          </rPr>
          <t xml:space="preserve">
Source: Campbell 2009 10-K, pg 47, Note 5: "Amortization was less than $1 in 2009, 2008 and 2007"</t>
        </r>
      </text>
    </comment>
    <comment ref="AC23" authorId="1" shapeId="0" xr:uid="{00000000-0006-0000-0400-00000B000000}">
      <text>
        <r>
          <rPr>
            <b/>
            <sz val="9"/>
            <color indexed="81"/>
            <rFont val="Tahoma"/>
            <family val="2"/>
          </rPr>
          <t>Training The Street:</t>
        </r>
        <r>
          <rPr>
            <sz val="9"/>
            <color indexed="81"/>
            <rFont val="Tahoma"/>
            <family val="2"/>
          </rPr>
          <t xml:space="preserve">
estimated based on tax rate for restructuring charges </t>
        </r>
      </text>
    </comment>
    <comment ref="K27" authorId="0" shapeId="0" xr:uid="{00000000-0006-0000-0400-00000C000000}">
      <text>
        <r>
          <rPr>
            <b/>
            <sz val="9"/>
            <color indexed="81"/>
            <rFont val="Tahoma"/>
            <family val="2"/>
          </rPr>
          <t>Training the Street:</t>
        </r>
        <r>
          <rPr>
            <sz val="9"/>
            <color indexed="81"/>
            <rFont val="Tahoma"/>
            <family val="2"/>
          </rPr>
          <t xml:space="preserve">
Campbell 2009 10-K, pg 36, Income Statement.  "Weighted average shares outstanding — assuming dilution"</t>
        </r>
      </text>
    </comment>
    <comment ref="AF28" authorId="1" shapeId="0" xr:uid="{00000000-0006-0000-0400-00000D000000}">
      <text>
        <r>
          <rPr>
            <b/>
            <sz val="9"/>
            <color indexed="81"/>
            <rFont val="Tahoma"/>
            <family val="2"/>
          </rPr>
          <t>Training The Street:</t>
        </r>
        <r>
          <rPr>
            <sz val="9"/>
            <color indexed="81"/>
            <rFont val="Tahoma"/>
            <family val="2"/>
          </rPr>
          <t xml:space="preserve">
estimated based on tax rate for gain on sale of facility</t>
        </r>
      </text>
    </comment>
    <comment ref="L34" authorId="1" shapeId="0" xr:uid="{00000000-0006-0000-0400-00000E000000}">
      <text>
        <r>
          <rPr>
            <b/>
            <sz val="9"/>
            <color indexed="81"/>
            <rFont val="Tahoma"/>
            <family val="2"/>
          </rPr>
          <t>Training The Street:</t>
        </r>
        <r>
          <rPr>
            <sz val="9"/>
            <color indexed="81"/>
            <rFont val="Tahoma"/>
            <family val="2"/>
          </rPr>
          <t xml:space="preserve">
Estimate based on latest management expectations as discussed in Q1'10 earnings transcript.  "we now expect net sales growth of 4% to 5%"</t>
        </r>
      </text>
    </comment>
    <comment ref="AF39" authorId="1" shapeId="0" xr:uid="{00000000-0006-0000-0400-00000F000000}">
      <text>
        <r>
          <rPr>
            <b/>
            <sz val="9"/>
            <color indexed="81"/>
            <rFont val="Tahoma"/>
            <family val="2"/>
          </rPr>
          <t>Training The Street:</t>
        </r>
        <r>
          <rPr>
            <sz val="9"/>
            <color indexed="81"/>
            <rFont val="Tahoma"/>
            <family val="2"/>
          </rPr>
          <t xml:space="preserve">
estimated based on tax rate for gain on sale of facility</t>
        </r>
      </text>
    </comment>
    <comment ref="L40" authorId="1" shapeId="0" xr:uid="{00000000-0006-0000-0400-000010000000}">
      <text>
        <r>
          <rPr>
            <b/>
            <sz val="9"/>
            <color indexed="81"/>
            <rFont val="Tahoma"/>
            <family val="2"/>
          </rPr>
          <t>Training The Street:</t>
        </r>
        <r>
          <rPr>
            <sz val="9"/>
            <color indexed="81"/>
            <rFont val="Tahoma"/>
            <family val="2"/>
          </rPr>
          <t xml:space="preserve">
Estimate based equity research</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F33" authorId="0" shapeId="0" xr:uid="{00000000-0006-0000-2200-000001000000}">
      <text>
        <r>
          <rPr>
            <b/>
            <sz val="8"/>
            <color indexed="81"/>
            <rFont val="Tahoma"/>
            <family val="2"/>
          </rPr>
          <t>Training The Street:</t>
        </r>
        <r>
          <rPr>
            <sz val="8"/>
            <color indexed="81"/>
            <rFont val="Tahoma"/>
            <family val="2"/>
          </rPr>
          <t xml:space="preserve">
Do not delete
=IF(AND(ROUND(I32,3)=ROUND(K32,3),F32&lt;&gt;G32),"Check your totals on your Cash Flow","")</t>
        </r>
      </text>
    </comment>
    <comment ref="F34" authorId="0" shapeId="0" xr:uid="{00000000-0006-0000-2200-000002000000}">
      <text>
        <r>
          <rPr>
            <b/>
            <sz val="8"/>
            <color indexed="81"/>
            <rFont val="Tahoma"/>
            <family val="2"/>
          </rPr>
          <t>Training The Street:</t>
        </r>
        <r>
          <rPr>
            <sz val="8"/>
            <color indexed="81"/>
            <rFont val="Tahoma"/>
            <family val="2"/>
          </rPr>
          <t xml:space="preserve">
Do not delete
=IF(ROUND(-G32,3)&lt;&gt;ROUND(LOOKUP($G$5,bs!$H$5:$O$5,bs!H34:O34),3),"Check your totals on your Balance Sheet","")</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Training The Street, Inc.</author>
  </authors>
  <commentList>
    <comment ref="E13" authorId="0" shapeId="0" xr:uid="{00000000-0006-0000-2300-000001000000}">
      <text>
        <r>
          <rPr>
            <b/>
            <sz val="10"/>
            <color indexed="81"/>
            <rFont val="Tahoma"/>
            <family val="2"/>
          </rPr>
          <t>Training the Street:</t>
        </r>
        <r>
          <rPr>
            <sz val="10"/>
            <color indexed="81"/>
            <rFont val="Tahoma"/>
            <family val="2"/>
          </rPr>
          <t xml:space="preserve">
Source: 2009 Campbell 10-K, Page 58.  Federal statutory rate + State income tax rate</t>
        </r>
      </text>
    </comment>
    <comment ref="J30" authorId="1" shapeId="0" xr:uid="{00000000-0006-0000-2300-000002000000}">
      <text>
        <r>
          <rPr>
            <b/>
            <sz val="10"/>
            <color indexed="81"/>
            <rFont val="Tahoma"/>
            <family val="2"/>
          </rPr>
          <t>Training The Street:</t>
        </r>
        <r>
          <rPr>
            <sz val="10"/>
            <color indexed="81"/>
            <rFont val="Tahoma"/>
            <family val="2"/>
          </rPr>
          <t xml:space="preserve">
Use the NPV formula
=NPV(J29,$L$23:$P$23)</t>
        </r>
      </text>
    </comment>
    <comment ref="P32" authorId="0" shapeId="0" xr:uid="{00000000-0006-0000-2300-000003000000}">
      <text>
        <r>
          <rPr>
            <b/>
            <sz val="9"/>
            <color indexed="81"/>
            <rFont val="Tahoma"/>
            <family val="2"/>
          </rPr>
          <t>Training the Street:</t>
        </r>
        <r>
          <rPr>
            <sz val="9"/>
            <color indexed="81"/>
            <rFont val="Tahoma"/>
            <family val="2"/>
          </rPr>
          <t xml:space="preserve">
Based on median of packaged foods comparables group as of December 1, 2009</t>
        </r>
      </text>
    </comment>
    <comment ref="J33" authorId="2" shapeId="0" xr:uid="{00000000-0006-0000-2300-000004000000}">
      <text>
        <r>
          <rPr>
            <b/>
            <sz val="10"/>
            <color indexed="81"/>
            <rFont val="Tahoma"/>
            <family val="2"/>
          </rPr>
          <t>Training The Street, Inc.:</t>
        </r>
        <r>
          <rPr>
            <sz val="10"/>
            <color indexed="81"/>
            <rFont val="Tahoma"/>
            <family val="2"/>
          </rPr>
          <t xml:space="preserve">
Terminal value = [FCFn x (1+g)] ÷ (r - g)
=(P23*(1+J32))/(J29-J32)</t>
        </r>
      </text>
    </comment>
    <comment ref="J34" authorId="2" shapeId="0" xr:uid="{00000000-0006-0000-2300-000005000000}">
      <text>
        <r>
          <rPr>
            <b/>
            <sz val="10"/>
            <color indexed="81"/>
            <rFont val="Tahoma"/>
            <family val="2"/>
          </rPr>
          <t>Training The Street, Inc.:</t>
        </r>
        <r>
          <rPr>
            <sz val="10"/>
            <color indexed="81"/>
            <rFont val="Tahoma"/>
            <family val="2"/>
          </rPr>
          <t xml:space="preserve">
Use the PV formula
=PV(J29,$P$5-$K$5,0,-J33)</t>
        </r>
      </text>
    </comment>
    <comment ref="J36" authorId="2" shapeId="0" xr:uid="{00000000-0006-0000-2300-000006000000}">
      <text>
        <r>
          <rPr>
            <b/>
            <sz val="10"/>
            <color indexed="81"/>
            <rFont val="Tahoma"/>
            <family val="2"/>
          </rPr>
          <t>Training The Street, Inc.:</t>
        </r>
        <r>
          <rPr>
            <sz val="10"/>
            <color indexed="81"/>
            <rFont val="Tahoma"/>
            <family val="2"/>
          </rPr>
          <t xml:space="preserve">
Enterprise value = 
NPV of FCF's + PV of terminal value
=J34+J30</t>
        </r>
      </text>
    </comment>
    <comment ref="J38" authorId="1" shapeId="0" xr:uid="{00000000-0006-0000-2300-000007000000}">
      <text>
        <r>
          <rPr>
            <b/>
            <sz val="10"/>
            <color indexed="81"/>
            <rFont val="Tahoma"/>
            <family val="2"/>
          </rPr>
          <t>Training The Street:</t>
        </r>
        <r>
          <rPr>
            <sz val="10"/>
            <color indexed="81"/>
            <rFont val="Tahoma"/>
            <family val="2"/>
          </rPr>
          <t xml:space="preserve">
=SUM(J36:J38)</t>
        </r>
      </text>
    </comment>
    <comment ref="J40" authorId="1" shapeId="0" xr:uid="{00000000-0006-0000-2300-000008000000}">
      <text>
        <r>
          <rPr>
            <b/>
            <sz val="9"/>
            <color indexed="81"/>
            <rFont val="Tahoma"/>
            <family val="2"/>
          </rPr>
          <t>Training The Street:</t>
        </r>
        <r>
          <rPr>
            <sz val="9"/>
            <color indexed="81"/>
            <rFont val="Tahoma"/>
            <family val="2"/>
          </rPr>
          <t xml:space="preserve">
Ending of the year basic shares plus stock options with a weighted-
average exercise price of $27.08, time-lapse restricted stock and performance restricted stock</t>
        </r>
      </text>
    </comment>
    <comment ref="F63" authorId="2" shapeId="0" xr:uid="{00000000-0006-0000-2300-000009000000}">
      <text>
        <r>
          <rPr>
            <b/>
            <sz val="8"/>
            <color indexed="81"/>
            <rFont val="Tahoma"/>
            <family val="2"/>
          </rPr>
          <t>Training The Street, Inc.:</t>
        </r>
        <r>
          <rPr>
            <sz val="8"/>
            <color indexed="81"/>
            <rFont val="Tahoma"/>
            <family val="2"/>
          </rPr>
          <t xml:space="preserve">
simplification for training purposes</t>
        </r>
      </text>
    </comment>
    <comment ref="G72" authorId="2" shapeId="0" xr:uid="{00000000-0006-0000-2300-00000A000000}">
      <text>
        <r>
          <rPr>
            <b/>
            <sz val="10"/>
            <color indexed="81"/>
            <rFont val="Tahoma"/>
            <family val="2"/>
          </rPr>
          <t>Training The Street, Inc.:</t>
        </r>
        <r>
          <rPr>
            <sz val="10"/>
            <color indexed="81"/>
            <rFont val="Tahoma"/>
            <family val="2"/>
          </rPr>
          <t xml:space="preserve">
Row J29
Column J32</t>
        </r>
      </text>
    </comment>
    <comment ref="G94" authorId="2" shapeId="0" xr:uid="{00000000-0006-0000-2300-00000B000000}">
      <text>
        <r>
          <rPr>
            <b/>
            <sz val="10"/>
            <color indexed="81"/>
            <rFont val="Tahoma"/>
            <family val="2"/>
          </rPr>
          <t>Training The Street, Inc.:</t>
        </r>
        <r>
          <rPr>
            <sz val="10"/>
            <color indexed="81"/>
            <rFont val="Tahoma"/>
            <family val="2"/>
          </rPr>
          <t xml:space="preserve">
Row J29
Column P32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K14" authorId="0" shapeId="0" xr:uid="{00000000-0006-0000-0800-000001000000}">
      <text>
        <r>
          <rPr>
            <b/>
            <sz val="9"/>
            <color indexed="81"/>
            <rFont val="Arial"/>
            <family val="2"/>
          </rPr>
          <t>Training the Street:</t>
        </r>
        <r>
          <rPr>
            <sz val="9"/>
            <color indexed="81"/>
            <rFont val="Arial"/>
            <family val="2"/>
          </rPr>
          <t xml:space="preserve">
Source: Campbell 2009 10-K, pg 47; includes "amortizable intangible assets " less accumulated amortization </t>
        </r>
      </text>
    </comment>
    <comment ref="K15" authorId="0" shapeId="0" xr:uid="{00000000-0006-0000-0800-000002000000}">
      <text>
        <r>
          <rPr>
            <b/>
            <sz val="9"/>
            <color indexed="81"/>
            <rFont val="Arial"/>
            <family val="2"/>
          </rPr>
          <t>Training the Street:</t>
        </r>
        <r>
          <rPr>
            <sz val="9"/>
            <color indexed="81"/>
            <rFont val="Arial"/>
            <family val="2"/>
          </rPr>
          <t xml:space="preserve">
Source: Campbell 2009 10-K, pg 47; includes "non-amortizable intangible assets"</t>
        </r>
      </text>
    </comment>
    <comment ref="I24" authorId="0" shapeId="0" xr:uid="{00000000-0006-0000-0800-000003000000}">
      <text>
        <r>
          <rPr>
            <b/>
            <sz val="9"/>
            <color indexed="81"/>
            <rFont val="Arial"/>
            <family val="2"/>
          </rPr>
          <t>Training the Street:</t>
        </r>
        <r>
          <rPr>
            <sz val="9"/>
            <color indexed="81"/>
            <rFont val="Arial"/>
            <family val="2"/>
          </rPr>
          <t xml:space="preserve">
Source: Campbell 2008 10-K, pg 57; Note 11.  Includes Commerical paper</t>
        </r>
      </text>
    </comment>
    <comment ref="K24" authorId="0" shapeId="0" xr:uid="{00000000-0006-0000-0800-000004000000}">
      <text>
        <r>
          <rPr>
            <b/>
            <sz val="9"/>
            <color indexed="81"/>
            <rFont val="Arial"/>
            <family val="2"/>
          </rPr>
          <t>Training the Street:</t>
        </r>
        <r>
          <rPr>
            <sz val="9"/>
            <color indexed="81"/>
            <rFont val="Arial"/>
            <family val="2"/>
          </rPr>
          <t xml:space="preserve">
Source: Campbell 2009 10-K, pg 60; Note 11.  Includes Commerical paper</t>
        </r>
      </text>
    </comment>
    <comment ref="J25" authorId="0" shapeId="0" xr:uid="{00000000-0006-0000-0800-000005000000}">
      <text>
        <r>
          <rPr>
            <b/>
            <sz val="9"/>
            <color indexed="81"/>
            <rFont val="Arial"/>
            <family val="2"/>
          </rPr>
          <t>Training the Street:</t>
        </r>
        <r>
          <rPr>
            <sz val="9"/>
            <color indexed="81"/>
            <rFont val="Arial"/>
            <family val="2"/>
          </rPr>
          <t xml:space="preserve">
Source: Campbell 2009 10-K, Balance Sheet; pg 37 &amp; Note 11 pg. 60.  Long term debt plus current portion of long-term debt, variable-rate bank borrowings and fixed-rate borrowings</t>
        </r>
      </text>
    </comment>
    <comment ref="K25" authorId="0" shapeId="0" xr:uid="{00000000-0006-0000-0800-000006000000}">
      <text>
        <r>
          <rPr>
            <b/>
            <sz val="9"/>
            <color indexed="81"/>
            <rFont val="Arial"/>
            <family val="2"/>
          </rPr>
          <t>Training the Street:</t>
        </r>
        <r>
          <rPr>
            <sz val="9"/>
            <color indexed="81"/>
            <rFont val="Arial"/>
            <family val="2"/>
          </rPr>
          <t xml:space="preserve">
Source: Campbell 2009 10-K, Balance Sheet; pg 37 &amp; Note 11 pg. 60.  Long term debt plus variable-rate bank borrowings and fixed-rate borrowings</t>
        </r>
      </text>
    </comment>
    <comment ref="L27" authorId="0" shapeId="0" xr:uid="{00000000-0006-0000-0800-000007000000}">
      <text>
        <r>
          <rPr>
            <b/>
            <sz val="9"/>
            <color indexed="81"/>
            <rFont val="Tahoma"/>
            <family val="2"/>
          </rPr>
          <t>Training the Street:</t>
        </r>
        <r>
          <rPr>
            <sz val="9"/>
            <color indexed="81"/>
            <rFont val="Tahoma"/>
            <family val="2"/>
          </rPr>
          <t xml:space="preserve">
ERROR
Change formula to =sum(L23:L27)</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Training The Street</author>
  </authors>
  <commentList>
    <comment ref="L15" authorId="0" shapeId="0" xr:uid="{00000000-0006-0000-0B00-000001000000}">
      <text>
        <r>
          <rPr>
            <b/>
            <sz val="10"/>
            <color indexed="81"/>
            <rFont val="Tahoma"/>
            <family val="2"/>
          </rPr>
          <t>Training The Street:</t>
        </r>
        <r>
          <rPr>
            <sz val="10"/>
            <color indexed="81"/>
            <rFont val="Tahoma"/>
            <family val="2"/>
          </rPr>
          <t xml:space="preserve">
ERROR
Fix t</t>
        </r>
        <r>
          <rPr>
            <sz val="10"/>
            <color indexed="81"/>
            <rFont val="Tahoma"/>
            <family val="2"/>
          </rPr>
          <t xml:space="preserve">o </t>
        </r>
        <r>
          <rPr>
            <b/>
            <sz val="10"/>
            <color indexed="81"/>
            <rFont val="Tahoma"/>
            <family val="2"/>
          </rPr>
          <t>=-</t>
        </r>
        <r>
          <rPr>
            <sz val="10"/>
            <color indexed="81"/>
            <rFont val="Tahoma"/>
            <family val="2"/>
          </rPr>
          <t xml:space="preserve">dep!L8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8" authorId="0" shapeId="0" xr:uid="{00000000-0006-0000-0D00-000001000000}">
      <text>
        <r>
          <rPr>
            <b/>
            <sz val="9"/>
            <color indexed="81"/>
            <rFont val="Arial"/>
            <family val="2"/>
          </rPr>
          <t>Training the Street:</t>
        </r>
        <r>
          <rPr>
            <sz val="9"/>
            <color indexed="81"/>
            <rFont val="Arial"/>
            <family val="2"/>
          </rPr>
          <t xml:space="preserve">
Source: Campbell 2009 10-K, pg 3</t>
        </r>
      </text>
    </comment>
    <comment ref="M9" authorId="0" shapeId="0" xr:uid="{00000000-0006-0000-0D00-000002000000}">
      <text>
        <r>
          <rPr>
            <b/>
            <sz val="9"/>
            <color indexed="81"/>
            <rFont val="Tahoma"/>
            <family val="2"/>
          </rPr>
          <t>Training the Street:</t>
        </r>
        <r>
          <rPr>
            <sz val="9"/>
            <color indexed="81"/>
            <rFont val="Tahoma"/>
            <family val="2"/>
          </rPr>
          <t xml:space="preserve">
Estimate based on equity research</t>
        </r>
      </text>
    </comment>
    <comment ref="L11" authorId="1" shapeId="0" xr:uid="{00000000-0006-0000-0D00-000003000000}">
      <text>
        <r>
          <rPr>
            <b/>
            <sz val="9"/>
            <color indexed="81"/>
            <rFont val="Tahoma"/>
            <family val="2"/>
          </rPr>
          <t>Training The Street:</t>
        </r>
        <r>
          <rPr>
            <sz val="9"/>
            <color indexed="81"/>
            <rFont val="Tahoma"/>
            <family val="2"/>
          </rPr>
          <t xml:space="preserve">
Estimate based on equity research</t>
        </r>
      </text>
    </comment>
    <comment ref="M12" authorId="0" shapeId="0" xr:uid="{00000000-0006-0000-0D00-000004000000}">
      <text>
        <r>
          <rPr>
            <b/>
            <sz val="9"/>
            <color indexed="81"/>
            <rFont val="Tahoma"/>
            <family val="2"/>
          </rPr>
          <t>Training the Street:</t>
        </r>
        <r>
          <rPr>
            <sz val="9"/>
            <color indexed="81"/>
            <rFont val="Tahoma"/>
            <family val="2"/>
          </rPr>
          <t xml:space="preserve">
Estimate based on equity research</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K8" authorId="0" shapeId="0" xr:uid="{00000000-0006-0000-0E00-000001000000}">
      <text>
        <r>
          <rPr>
            <b/>
            <sz val="9"/>
            <color indexed="81"/>
            <rFont val="Arial"/>
            <family val="2"/>
          </rPr>
          <t>Training the Street:</t>
        </r>
        <r>
          <rPr>
            <sz val="9"/>
            <color indexed="81"/>
            <rFont val="Arial"/>
            <family val="2"/>
          </rPr>
          <t xml:space="preserve">
Source: Campbell 2009 10-K, pg 47.  Calculated as the change in amortizable intangible assets from 2008-2009
</t>
        </r>
      </text>
    </comment>
    <comment ref="L8" authorId="1" shapeId="0" xr:uid="{00000000-0006-0000-0E00-000002000000}">
      <text>
        <r>
          <rPr>
            <b/>
            <sz val="9"/>
            <color indexed="81"/>
            <rFont val="Tahoma"/>
            <family val="2"/>
          </rPr>
          <t>Training The Street:</t>
        </r>
        <r>
          <rPr>
            <sz val="9"/>
            <color indexed="81"/>
            <rFont val="Tahoma"/>
            <family val="2"/>
          </rPr>
          <t xml:space="preserve">
Assumes no future acquisitions</t>
        </r>
      </text>
    </comment>
    <comment ref="L11" authorId="0" shapeId="0" xr:uid="{00000000-0006-0000-0E00-000003000000}">
      <text>
        <r>
          <rPr>
            <b/>
            <sz val="9"/>
            <color indexed="81"/>
            <rFont val="Tahoma"/>
            <family val="2"/>
          </rPr>
          <t xml:space="preserve">Training the Street:
</t>
        </r>
        <r>
          <rPr>
            <sz val="9"/>
            <color indexed="81"/>
            <rFont val="Tahoma"/>
            <family val="2"/>
          </rPr>
          <t>Source: Campbell 2009 10-K, pg 47. Note 5.  
"The estimated aggregated amortization expense for each of the five succeeding fiscal years is less than $1 per year"</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L10" authorId="0" shapeId="0" xr:uid="{00000000-0006-0000-1100-000001000000}">
      <text>
        <r>
          <rPr>
            <b/>
            <sz val="9"/>
            <color indexed="81"/>
            <rFont val="Tahoma"/>
            <family val="2"/>
          </rPr>
          <t>Training The Street:</t>
        </r>
        <r>
          <rPr>
            <sz val="9"/>
            <color indexed="81"/>
            <rFont val="Tahoma"/>
            <family val="2"/>
          </rPr>
          <t xml:space="preserve">
Source: Campbell 2009 10K; Statement of Cash Flows, pg 38.  Estimate based of previous years expense of $84mm  
</t>
        </r>
      </text>
    </comment>
    <comment ref="L18" authorId="1" shapeId="0" xr:uid="{00000000-0006-0000-1100-000002000000}">
      <text>
        <r>
          <rPr>
            <b/>
            <sz val="10"/>
            <color indexed="81"/>
            <rFont val="Tahoma"/>
            <family val="2"/>
          </rPr>
          <t>Training the Street:</t>
        </r>
        <r>
          <rPr>
            <sz val="10"/>
            <color indexed="81"/>
            <rFont val="Tahoma"/>
            <family val="2"/>
          </rPr>
          <t xml:space="preserve">
</t>
        </r>
        <r>
          <rPr>
            <sz val="9"/>
            <color indexed="81"/>
            <rFont val="Tahoma"/>
            <family val="2"/>
          </rPr>
          <t>Based on consensus equity research as of December 2009</t>
        </r>
      </text>
    </comment>
    <comment ref="K20" authorId="1" shapeId="0" xr:uid="{00000000-0006-0000-1100-000003000000}">
      <text>
        <r>
          <rPr>
            <b/>
            <sz val="9"/>
            <color indexed="81"/>
            <rFont val="Arial"/>
            <family val="2"/>
          </rPr>
          <t>Training the Street:</t>
        </r>
        <r>
          <rPr>
            <sz val="9"/>
            <color indexed="81"/>
            <rFont val="Arial"/>
            <family val="2"/>
          </rPr>
          <t xml:space="preserve">
Source: Campbell 2009 10-K, Statement of Shareowners' Equity; pg 39.  "Treasury stock purchased" (shares)
</t>
        </r>
      </text>
    </comment>
    <comment ref="L20" authorId="1" shapeId="0" xr:uid="{00000000-0006-0000-1100-000004000000}">
      <text>
        <r>
          <rPr>
            <b/>
            <sz val="9"/>
            <color indexed="81"/>
            <rFont val="Tahoma"/>
            <family val="2"/>
          </rPr>
          <t>Training the Street:</t>
        </r>
        <r>
          <rPr>
            <sz val="9"/>
            <color indexed="81"/>
            <rFont val="Tahoma"/>
            <family val="2"/>
          </rPr>
          <t xml:space="preserve">
Based on estimates from equity research</t>
        </r>
      </text>
    </comment>
    <comment ref="K21" authorId="1" shapeId="0" xr:uid="{00000000-0006-0000-1100-000005000000}">
      <text>
        <r>
          <rPr>
            <b/>
            <sz val="9"/>
            <color indexed="81"/>
            <rFont val="Arial"/>
            <family val="2"/>
          </rPr>
          <t>Training the Street:</t>
        </r>
        <r>
          <rPr>
            <sz val="9"/>
            <color indexed="81"/>
            <rFont val="Arial"/>
            <family val="2"/>
          </rPr>
          <t xml:space="preserve">
Source: Campbell 2009 10-K, pg 38; Statement of Cash Flows'.  "Treausry stock purchases" ($ millions)</t>
        </r>
      </text>
    </comment>
    <comment ref="K24" authorId="1" shapeId="0" xr:uid="{00000000-0006-0000-1100-000006000000}">
      <text>
        <r>
          <rPr>
            <b/>
            <sz val="9"/>
            <color indexed="81"/>
            <rFont val="Arial"/>
            <family val="2"/>
          </rPr>
          <t>Training the Street:</t>
        </r>
        <r>
          <rPr>
            <sz val="9"/>
            <color indexed="81"/>
            <rFont val="Arial"/>
            <family val="2"/>
          </rPr>
          <t xml:space="preserve">
Source: Campbell 2009 10-K, Statement of Shareowners' Equity; pg 39.  "Treasury stock issued under management incentive and stock option plans" (shares)</t>
        </r>
      </text>
    </comment>
    <comment ref="L24" authorId="0" shapeId="0" xr:uid="{00000000-0006-0000-1100-000007000000}">
      <text>
        <r>
          <rPr>
            <b/>
            <sz val="8"/>
            <color indexed="81"/>
            <rFont val="Tahoma"/>
            <family val="2"/>
          </rPr>
          <t>Training The Street:</t>
        </r>
        <r>
          <rPr>
            <sz val="8"/>
            <color indexed="81"/>
            <rFont val="Tahoma"/>
            <family val="2"/>
          </rPr>
          <t xml:space="preserve">
</t>
        </r>
        <r>
          <rPr>
            <sz val="9"/>
            <color indexed="81"/>
            <rFont val="Tahoma"/>
            <family val="2"/>
          </rPr>
          <t xml:space="preserve">Estimate based on equity research
</t>
        </r>
      </text>
    </comment>
    <comment ref="L25" authorId="1" shapeId="0" xr:uid="{00000000-0006-0000-1100-000008000000}">
      <text>
        <r>
          <rPr>
            <b/>
            <sz val="9"/>
            <color indexed="81"/>
            <rFont val="Tahoma"/>
            <family val="2"/>
          </rPr>
          <t xml:space="preserve">Training the Street:
</t>
        </r>
        <r>
          <rPr>
            <sz val="9"/>
            <color indexed="81"/>
            <rFont val="Tahoma"/>
            <family val="2"/>
          </rPr>
          <t>Source: 2009 Campbell 10-K, pg 68.
"Weighted Average Exercise Price" of options outstanding</t>
        </r>
      </text>
    </comment>
    <comment ref="K26" authorId="1" shapeId="0" xr:uid="{00000000-0006-0000-1100-000009000000}">
      <text>
        <r>
          <rPr>
            <b/>
            <sz val="9"/>
            <color indexed="81"/>
            <rFont val="Arial"/>
            <family val="2"/>
          </rPr>
          <t>Training the Street:</t>
        </r>
        <r>
          <rPr>
            <sz val="9"/>
            <color indexed="81"/>
            <rFont val="Arial"/>
            <family val="2"/>
          </rPr>
          <t xml:space="preserve">
Source: Campbell 2009 10-K, Statement of Cash Flows; pg 38.  "Treasury stock issuances".  Note this does NOT match number on SSE   </t>
        </r>
      </text>
    </comment>
    <comment ref="K29" authorId="0" shapeId="0" xr:uid="{00000000-0006-0000-1100-00000A000000}">
      <text>
        <r>
          <rPr>
            <b/>
            <sz val="10"/>
            <color indexed="81"/>
            <rFont val="Tahoma"/>
            <family val="2"/>
          </rPr>
          <t>Training The Street:</t>
        </r>
        <r>
          <rPr>
            <sz val="10"/>
            <color indexed="81"/>
            <rFont val="Tahoma"/>
            <family val="2"/>
          </rPr>
          <t xml:space="preserve">
Source: Campbell 2009 10-K, Statement of Shareowners' Equity; pg 39.
Note this does NOT match number on Statement of Cash Flows   </t>
        </r>
      </text>
    </comment>
    <comment ref="L31" authorId="1" shapeId="0" xr:uid="{00000000-0006-0000-1100-00000B000000}">
      <text>
        <r>
          <rPr>
            <b/>
            <sz val="9"/>
            <color indexed="81"/>
            <rFont val="Arial"/>
            <family val="2"/>
          </rPr>
          <t>Training the Street:</t>
        </r>
        <r>
          <rPr>
            <sz val="9"/>
            <color indexed="81"/>
            <rFont val="Arial"/>
            <family val="2"/>
          </rPr>
          <t xml:space="preserve">
Source: 210 Q1 earnings call transcript.  Estimate based on newly announced quarterly dividend of $0.275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s>
  <commentList>
    <comment ref="I10" authorId="0" shapeId="0" xr:uid="{00000000-0006-0000-1200-000001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J10" authorId="0" shapeId="0" xr:uid="{00000000-0006-0000-1200-000002000000}">
      <text>
        <r>
          <rPr>
            <b/>
            <sz val="10"/>
            <color indexed="81"/>
            <rFont val="Tahoma"/>
            <family val="2"/>
          </rPr>
          <t>Training the Street:</t>
        </r>
        <r>
          <rPr>
            <sz val="10"/>
            <color indexed="81"/>
            <rFont val="Tahoma"/>
            <family val="2"/>
          </rPr>
          <t xml:space="preserve">
Source: 2009 Campbell 10-K,  Statement of Stockholders' Equity; 
pg 39.  Common Stock (capital stock issued + in treasury shares)</t>
        </r>
      </text>
    </comment>
    <comment ref="K12" authorId="0" shapeId="0" xr:uid="{00000000-0006-0000-1200-000003000000}">
      <text>
        <r>
          <rPr>
            <b/>
            <sz val="10"/>
            <color indexed="81"/>
            <rFont val="Tahoma"/>
            <family val="2"/>
          </rPr>
          <t>Training the Street:</t>
        </r>
        <r>
          <rPr>
            <sz val="10"/>
            <color indexed="81"/>
            <rFont val="Tahoma"/>
            <family val="2"/>
          </rPr>
          <t xml:space="preserve">
Source: 2009 Campbell 10-K, Income Statement; pg 36.</t>
        </r>
      </text>
    </comment>
    <comment ref="L13" authorId="1" shapeId="0" xr:uid="{00000000-0006-0000-1200-000004000000}">
      <text>
        <r>
          <rPr>
            <b/>
            <sz val="9"/>
            <color indexed="81"/>
            <rFont val="Tahoma"/>
            <family val="2"/>
          </rPr>
          <t>Training The Street:</t>
        </r>
        <r>
          <rPr>
            <sz val="9"/>
            <color indexed="81"/>
            <rFont val="Tahoma"/>
            <family val="2"/>
          </rPr>
          <t xml:space="preserve">
Estimate based on historical levels</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Training the Street</author>
    <author>Training The Street</author>
    <author>Ofelia</author>
  </authors>
  <commentList>
    <comment ref="L12" authorId="0" shapeId="0" xr:uid="{00000000-0006-0000-1300-000001000000}">
      <text>
        <r>
          <rPr>
            <b/>
            <sz val="9"/>
            <color indexed="81"/>
            <rFont val="Tahoma"/>
            <family val="2"/>
          </rPr>
          <t>Training the Street:</t>
        </r>
        <r>
          <rPr>
            <sz val="9"/>
            <color indexed="81"/>
            <rFont val="Tahoma"/>
            <family val="2"/>
          </rPr>
          <t xml:space="preserve">
Estimate based on historic levels</t>
        </r>
      </text>
    </comment>
    <comment ref="L26" authorId="1" shapeId="0" xr:uid="{00000000-0006-0000-1300-000002000000}">
      <text>
        <r>
          <rPr>
            <b/>
            <sz val="9"/>
            <color indexed="81"/>
            <rFont val="Tahoma"/>
            <family val="2"/>
          </rPr>
          <t>Training The Street:</t>
        </r>
        <r>
          <rPr>
            <sz val="9"/>
            <color indexed="81"/>
            <rFont val="Tahoma"/>
            <family val="2"/>
          </rPr>
          <t xml:space="preserve">
Source: Campbell 2009 10-K, Note 11; pg 61.  "Principal amounts of debt mature as follows;" Excludes $350 of commercial paper</t>
        </r>
      </text>
    </comment>
    <comment ref="L31" authorId="2" shapeId="0" xr:uid="{00000000-0006-0000-1300-000003000000}">
      <text>
        <r>
          <rPr>
            <b/>
            <sz val="9"/>
            <color indexed="81"/>
            <rFont val="Tahoma"/>
            <family val="2"/>
          </rPr>
          <t>Training The Street:</t>
        </r>
        <r>
          <rPr>
            <sz val="9"/>
            <color indexed="81"/>
            <rFont val="Tahoma"/>
            <family val="2"/>
          </rPr>
          <t xml:space="preserve">
Source: Campbell 2009 10-K, Note 11; pg 60. 
"As of August 2, 2009, the weighted-average interest rate of commercial paper, which consisted of U.S. borrowings, was 0.28%" 
Typically speak with debt capital markets or syndications professionals.  Also check Bloomberg for current rates on the company's publicly-traded debt.
</t>
        </r>
      </text>
    </comment>
    <comment ref="L35" authorId="2" shapeId="0" xr:uid="{00000000-0006-0000-1300-000004000000}">
      <text>
        <r>
          <rPr>
            <b/>
            <sz val="9"/>
            <color indexed="81"/>
            <rFont val="Tahoma"/>
            <family val="2"/>
          </rPr>
          <t>Training The Street:</t>
        </r>
        <r>
          <rPr>
            <sz val="9"/>
            <color indexed="81"/>
            <rFont val="Tahoma"/>
            <family val="2"/>
          </rPr>
          <t xml:space="preserve">
Source: Campbell 2009 10-K, Note 11, pg 61. 
Weighted average of all long term debt tranches.
Typically speak with debt capital markets or syndications professionals.  Also check Bloomberg for current rates on the company's publicly-traded debt.
</t>
        </r>
      </text>
    </comment>
    <comment ref="L41" authorId="0" shapeId="0" xr:uid="{00000000-0006-0000-1300-000005000000}">
      <text>
        <r>
          <rPr>
            <b/>
            <sz val="9"/>
            <color indexed="81"/>
            <rFont val="Tahoma"/>
            <family val="2"/>
          </rPr>
          <t>Training the Street:</t>
        </r>
        <r>
          <rPr>
            <sz val="9"/>
            <color indexed="81"/>
            <rFont val="Tahoma"/>
            <family val="2"/>
          </rPr>
          <t xml:space="preserve">
Estimate based on current market conditions as of December 2009</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Training The Street, Inc.</author>
  </authors>
  <commentList>
    <comment ref="H50" authorId="0" shapeId="0" xr:uid="{00000000-0006-0000-2100-000001000000}">
      <text>
        <r>
          <rPr>
            <b/>
            <sz val="8"/>
            <color indexed="81"/>
            <rFont val="Tahoma"/>
            <family val="2"/>
          </rPr>
          <t>Training The Street, Inc.:</t>
        </r>
        <r>
          <rPr>
            <sz val="8"/>
            <color indexed="81"/>
            <rFont val="Tahoma"/>
            <family val="2"/>
          </rPr>
          <t xml:space="preserve">
Cash + Accounts Receivable</t>
        </r>
      </text>
    </comment>
    <comment ref="C63" authorId="0" shapeId="0" xr:uid="{00000000-0006-0000-2100-000002000000}">
      <text>
        <r>
          <rPr>
            <b/>
            <sz val="8"/>
            <color indexed="81"/>
            <rFont val="Tahoma"/>
            <family val="2"/>
          </rPr>
          <t>Training The Street, Inc.:</t>
        </r>
        <r>
          <rPr>
            <sz val="8"/>
            <color indexed="81"/>
            <rFont val="Tahoma"/>
            <family val="2"/>
          </rPr>
          <t xml:space="preserve">
Quick Assets / Current Liabilities</t>
        </r>
      </text>
    </comment>
    <comment ref="C69" authorId="0" shapeId="0" xr:uid="{00000000-0006-0000-2100-000003000000}">
      <text>
        <r>
          <rPr>
            <b/>
            <sz val="8"/>
            <color indexed="81"/>
            <rFont val="Tahoma"/>
            <family val="2"/>
          </rPr>
          <t>Training The Street, Inc.:</t>
        </r>
        <r>
          <rPr>
            <sz val="8"/>
            <color indexed="81"/>
            <rFont val="Tahoma"/>
            <family val="2"/>
          </rPr>
          <t xml:space="preserve">
=sales / Net PP&amp;E</t>
        </r>
      </text>
    </comment>
    <comment ref="C70" authorId="0" shapeId="0" xr:uid="{00000000-0006-0000-2100-000004000000}">
      <text>
        <r>
          <rPr>
            <b/>
            <sz val="8"/>
            <color indexed="81"/>
            <rFont val="Tahoma"/>
            <family val="2"/>
          </rPr>
          <t>Training The Street, Inc.:</t>
        </r>
        <r>
          <rPr>
            <sz val="8"/>
            <color indexed="81"/>
            <rFont val="Tahoma"/>
            <family val="2"/>
          </rPr>
          <t xml:space="preserve">
=sales / Total Assets</t>
        </r>
      </text>
    </comment>
    <comment ref="C73" authorId="0" shapeId="0" xr:uid="{00000000-0006-0000-2100-000005000000}">
      <text>
        <r>
          <rPr>
            <b/>
            <sz val="8"/>
            <color indexed="81"/>
            <rFont val="Tahoma"/>
            <family val="2"/>
          </rPr>
          <t>Training The Street, Inc.:</t>
        </r>
        <r>
          <rPr>
            <sz val="8"/>
            <color indexed="81"/>
            <rFont val="Tahoma"/>
            <family val="2"/>
          </rPr>
          <t xml:space="preserve">
Net income / Sales</t>
        </r>
      </text>
    </comment>
    <comment ref="C74" authorId="0" shapeId="0" xr:uid="{00000000-0006-0000-2100-000006000000}">
      <text>
        <r>
          <rPr>
            <b/>
            <sz val="8"/>
            <color indexed="81"/>
            <rFont val="Tahoma"/>
            <family val="2"/>
          </rPr>
          <t>Training The Street, Inc.:</t>
        </r>
        <r>
          <rPr>
            <sz val="8"/>
            <color indexed="81"/>
            <rFont val="Tahoma"/>
            <family val="2"/>
          </rPr>
          <t xml:space="preserve">
Sales / Tatal assets</t>
        </r>
      </text>
    </comment>
    <comment ref="C75" authorId="0" shapeId="0" xr:uid="{00000000-0006-0000-2100-000007000000}">
      <text>
        <r>
          <rPr>
            <b/>
            <sz val="8"/>
            <color indexed="81"/>
            <rFont val="Tahoma"/>
            <family val="2"/>
          </rPr>
          <t xml:space="preserve">Training The Street, Inc.:
</t>
        </r>
        <r>
          <rPr>
            <sz val="8"/>
            <color indexed="81"/>
            <rFont val="Tahoma"/>
            <family val="2"/>
          </rPr>
          <t>Assets / Net worth</t>
        </r>
      </text>
    </comment>
  </commentList>
</comments>
</file>

<file path=xl/sharedStrings.xml><?xml version="1.0" encoding="utf-8"?>
<sst xmlns="http://schemas.openxmlformats.org/spreadsheetml/2006/main" count="2632" uniqueCount="1177">
  <si>
    <t>Implied Perpetuity Growth Rate</t>
  </si>
  <si>
    <t>Projections based on internal estimates.</t>
  </si>
  <si>
    <t>PV date:</t>
  </si>
  <si>
    <t>Date of net debt and shares:</t>
  </si>
  <si>
    <t>Numbers of days in the period</t>
  </si>
  <si>
    <r>
      <t>ç</t>
    </r>
    <r>
      <rPr>
        <sz val="10"/>
        <color indexed="23"/>
        <rFont val="Arial"/>
        <family val="2"/>
      </rPr>
      <t xml:space="preserve"> cell is named </t>
    </r>
    <r>
      <rPr>
        <b/>
        <sz val="10"/>
        <color indexed="23"/>
        <rFont val="Arial"/>
        <family val="2"/>
      </rPr>
      <t>"Days"</t>
    </r>
  </si>
  <si>
    <t>Capital expenditures as % of sales</t>
  </si>
  <si>
    <t>Depreciation expense</t>
  </si>
  <si>
    <t>(Asset sales and write-offs)</t>
  </si>
  <si>
    <t>Ratios &amp; Assumptions</t>
  </si>
  <si>
    <t xml:space="preserve">    CAGR    </t>
  </si>
  <si>
    <t>Profitability Ratios</t>
  </si>
  <si>
    <t>% growth</t>
  </si>
  <si>
    <t>Gross profit</t>
  </si>
  <si>
    <t>% margin</t>
  </si>
  <si>
    <t xml:space="preserve">Net income </t>
  </si>
  <si>
    <t>Interest Coverage</t>
  </si>
  <si>
    <t>Assets</t>
  </si>
  <si>
    <t>Total Other Long-Term Assets:</t>
  </si>
  <si>
    <t>(Increase)/Decrease in Other Assets:</t>
  </si>
  <si>
    <t>Liabilities</t>
  </si>
  <si>
    <t>Total Other Long-Term Liabilities:</t>
  </si>
  <si>
    <t>Increase/(Decrease) in Other Long-term Liabilities:</t>
  </si>
  <si>
    <t>Dividends</t>
  </si>
  <si>
    <t>Average basic shares</t>
  </si>
  <si>
    <t>Return on equity</t>
  </si>
  <si>
    <t xml:space="preserve"> + / -  Changes in working capital</t>
  </si>
  <si>
    <t xml:space="preserve"> + / -  Changes in other assets and liabilities</t>
  </si>
  <si>
    <t>Perpetuity Growth Method</t>
  </si>
  <si>
    <t>EBITDA Multiple Method</t>
  </si>
  <si>
    <t>Weighted average cost of capital:</t>
  </si>
  <si>
    <t>Net present value of free cash flow (b)</t>
  </si>
  <si>
    <t>Exit multiple</t>
  </si>
  <si>
    <t>Terminal value</t>
  </si>
  <si>
    <t>Present value of the terminal value (c)</t>
  </si>
  <si>
    <t>Equity Value</t>
  </si>
  <si>
    <t>Implied EBITDA Exit Multiple</t>
  </si>
  <si>
    <t>Terminal year unlevered free cash flow</t>
  </si>
  <si>
    <t>Terminal year EBITDA</t>
  </si>
  <si>
    <t>Weighted average cost of capital</t>
  </si>
  <si>
    <t>Multiple</t>
  </si>
  <si>
    <t>Implied EBITDA Exit Multiple:</t>
  </si>
  <si>
    <t>Implied Growth Rate:</t>
  </si>
  <si>
    <t>a)</t>
  </si>
  <si>
    <t>b)</t>
  </si>
  <si>
    <t>c)</t>
  </si>
  <si>
    <t>d)</t>
  </si>
  <si>
    <t>e)</t>
  </si>
  <si>
    <t>Many practitioners use the latest available diluted shares as an estimate.</t>
  </si>
  <si>
    <t>DCF Sensitivity Analysis</t>
  </si>
  <si>
    <t>Terminal</t>
  </si>
  <si>
    <t>growth</t>
  </si>
  <si>
    <t xml:space="preserve">rate </t>
  </si>
  <si>
    <r>
      <t xml:space="preserve">Equity Value Per Share </t>
    </r>
    <r>
      <rPr>
        <sz val="10"/>
        <color indexed="8"/>
        <rFont val="Arial"/>
        <family val="2"/>
      </rPr>
      <t>(e)</t>
    </r>
  </si>
  <si>
    <r>
      <t xml:space="preserve">See cell named </t>
    </r>
    <r>
      <rPr>
        <b/>
        <sz val="8"/>
        <color indexed="23"/>
        <rFont val="Arial"/>
        <family val="2"/>
      </rPr>
      <t>"pv.date"</t>
    </r>
  </si>
  <si>
    <r>
      <t xml:space="preserve">See cell named </t>
    </r>
    <r>
      <rPr>
        <b/>
        <sz val="8"/>
        <color indexed="23"/>
        <rFont val="Arial"/>
        <family val="2"/>
      </rPr>
      <t>"bs.date"</t>
    </r>
  </si>
  <si>
    <t>Equity Value Per Share (Perpetuity Growth Method)</t>
  </si>
  <si>
    <t>Equity Value Per Share (EBITDA Multiple Method Growth Method)</t>
  </si>
  <si>
    <t>multiple</t>
  </si>
  <si>
    <t>exit</t>
  </si>
  <si>
    <t>f )</t>
  </si>
  <si>
    <r>
      <t xml:space="preserve">Equity Value Per Share </t>
    </r>
    <r>
      <rPr>
        <sz val="10"/>
        <color indexed="8"/>
        <rFont val="Arial"/>
        <family val="2"/>
      </rPr>
      <t>(f)</t>
    </r>
  </si>
  <si>
    <t>End</t>
  </si>
  <si>
    <t>Excess Cash Available for Revolver</t>
  </si>
  <si>
    <t>Issuance / (repayment) of revolver</t>
  </si>
  <si>
    <t>Interest Expense</t>
  </si>
  <si>
    <t>Operating Activities</t>
  </si>
  <si>
    <t>Investing Activities</t>
  </si>
  <si>
    <t>Additions to intangibles</t>
  </si>
  <si>
    <t>Financing Activities</t>
  </si>
  <si>
    <t>Memo Items:</t>
  </si>
  <si>
    <t>EBIT / Interest expense</t>
  </si>
  <si>
    <t>EBITDA / Interest expense</t>
  </si>
  <si>
    <t>EBITDA - Capital expenditures / Interest expense</t>
  </si>
  <si>
    <t>Capitalization*</t>
  </si>
  <si>
    <t>Memo items:</t>
  </si>
  <si>
    <t>Taxes</t>
  </si>
  <si>
    <t>Total debt</t>
  </si>
  <si>
    <t>Total stockholders' equity</t>
  </si>
  <si>
    <t>Total capitalization</t>
  </si>
  <si>
    <t>Return on Invested Capital</t>
  </si>
  <si>
    <t>*all recorded at book value</t>
  </si>
  <si>
    <t>Leverage*</t>
  </si>
  <si>
    <t>Total debt / Total capitalization</t>
  </si>
  <si>
    <t>Total debt / EBITDA</t>
  </si>
  <si>
    <t>Liquidity</t>
  </si>
  <si>
    <t>Accounts receivable</t>
  </si>
  <si>
    <t>Quick assets</t>
  </si>
  <si>
    <t>Inventory</t>
  </si>
  <si>
    <t>Current assets</t>
  </si>
  <si>
    <t>Total assets</t>
  </si>
  <si>
    <t>Current liabilities</t>
  </si>
  <si>
    <t>Working capital</t>
  </si>
  <si>
    <t>Current ratio</t>
  </si>
  <si>
    <t>Quick ratio</t>
  </si>
  <si>
    <t>Activity</t>
  </si>
  <si>
    <t>Accounts receivable (collection period)</t>
  </si>
  <si>
    <t>Inventories (days outstanding)</t>
  </si>
  <si>
    <t>Accounts payable (days outstanding)</t>
  </si>
  <si>
    <t>Net fixed asset turnover</t>
  </si>
  <si>
    <t>Asset turnover</t>
  </si>
  <si>
    <t>DuPont Analysis</t>
  </si>
  <si>
    <t>Return on sales</t>
  </si>
  <si>
    <t>Asset leverage</t>
  </si>
  <si>
    <t>Total Non-Debt Current Liabilities:</t>
  </si>
  <si>
    <t>NET WORKING CAPITAL / (DEFICIT)</t>
  </si>
  <si>
    <t>Ratios and Assumptions</t>
  </si>
  <si>
    <t>Depreciation as % of CapEx</t>
  </si>
  <si>
    <t>Depreciation as % of PP&amp;E, net</t>
  </si>
  <si>
    <t>Additions to definite life intangibles</t>
  </si>
  <si>
    <t>Additions as % of sales</t>
  </si>
  <si>
    <t>Beginning definite life intangibles</t>
  </si>
  <si>
    <t>(Amortization expense)</t>
  </si>
  <si>
    <t>(Write-offs)</t>
  </si>
  <si>
    <t>Ending definite life intangibles</t>
  </si>
  <si>
    <r>
      <t>ç</t>
    </r>
    <r>
      <rPr>
        <sz val="10"/>
        <color indexed="23"/>
        <rFont val="Arial"/>
        <family val="2"/>
      </rPr>
      <t xml:space="preserve"> cell F5 is named </t>
    </r>
    <r>
      <rPr>
        <b/>
        <sz val="10"/>
        <color indexed="23"/>
        <rFont val="Arial"/>
        <family val="2"/>
      </rPr>
      <t>"subheader"</t>
    </r>
  </si>
  <si>
    <r>
      <t>ç</t>
    </r>
    <r>
      <rPr>
        <sz val="10"/>
        <color indexed="23"/>
        <rFont val="Arial"/>
        <family val="2"/>
      </rPr>
      <t xml:space="preserve"> cell is named </t>
    </r>
    <r>
      <rPr>
        <b/>
        <sz val="10"/>
        <color indexed="23"/>
        <rFont val="Arial"/>
        <family val="2"/>
      </rPr>
      <t>"FYE"</t>
    </r>
  </si>
  <si>
    <t>Step</t>
  </si>
  <si>
    <t>x</t>
  </si>
  <si>
    <t>X</t>
  </si>
  <si>
    <t>Final Inputs</t>
  </si>
  <si>
    <t>Minimum Cash Balance</t>
  </si>
  <si>
    <t>Cash Balance</t>
  </si>
  <si>
    <t xml:space="preserve"> LESS Minimum Cash</t>
  </si>
  <si>
    <t>Excess Cash</t>
  </si>
  <si>
    <t>For Jump Starting</t>
  </si>
  <si>
    <t>Stock-based Compensation</t>
  </si>
  <si>
    <t>Additions to Intangibles</t>
  </si>
  <si>
    <t>Asset Sales and Write-Offs</t>
  </si>
  <si>
    <t>Interest expense</t>
  </si>
  <si>
    <t>Capital expenditures</t>
  </si>
  <si>
    <t>END</t>
  </si>
  <si>
    <t>EPS</t>
  </si>
  <si>
    <t>Amortization</t>
  </si>
  <si>
    <t>Beginning balance - basic (actual)</t>
  </si>
  <si>
    <t>Shares issued from options</t>
  </si>
  <si>
    <t>Shares repurchased</t>
  </si>
  <si>
    <t>Ending balance - basic (actual)</t>
  </si>
  <si>
    <t>Effects of options and dilutive securities</t>
  </si>
  <si>
    <t>Average diluted shares</t>
  </si>
  <si>
    <t>Less:  Depreciation</t>
  </si>
  <si>
    <t>Less:  Amortization</t>
  </si>
  <si>
    <t>Less: Taxes @</t>
  </si>
  <si>
    <t>Tax-effected EBIT</t>
  </si>
  <si>
    <t>Plus:  Depreciation</t>
  </si>
  <si>
    <t>Plus:  Amortization</t>
  </si>
  <si>
    <t>Less:  Capital expenditures</t>
  </si>
  <si>
    <t>Less:  Additions to definite life intangibles</t>
  </si>
  <si>
    <t>Unlevered Free Cash Flow</t>
  </si>
  <si>
    <t>Unlevered Free Cash Flow Growth Rate</t>
  </si>
  <si>
    <t>Enterprise Value</t>
  </si>
  <si>
    <t>Stock-based compensation expense</t>
  </si>
  <si>
    <t>Option proceeds</t>
  </si>
  <si>
    <t>Beginning cash balance</t>
  </si>
  <si>
    <t>Ending cash balance</t>
  </si>
  <si>
    <t>Beginning balance</t>
  </si>
  <si>
    <t>Ending balance</t>
  </si>
  <si>
    <t>Net income</t>
  </si>
  <si>
    <t>Share repurchase assumptions</t>
  </si>
  <si>
    <t>Current year EPS</t>
  </si>
  <si>
    <t>Projected share price</t>
  </si>
  <si>
    <t>Shares repurchased - millions</t>
  </si>
  <si>
    <t>$ amount repurchased</t>
  </si>
  <si>
    <t>New shares from exercised options</t>
  </si>
  <si>
    <t>New shares issued from options - millions</t>
  </si>
  <si>
    <t>Average strike price</t>
  </si>
  <si>
    <t>Dividend assumptions</t>
  </si>
  <si>
    <t>Dividend payout ratio</t>
  </si>
  <si>
    <t>Plus: Beginning cash balance</t>
  </si>
  <si>
    <t>Less: Minimum cash balance</t>
  </si>
  <si>
    <t>Long-term debt issuance</t>
  </si>
  <si>
    <t>Long-term debt (repayments)</t>
  </si>
  <si>
    <t>Accounts payable</t>
  </si>
  <si>
    <t>Revolver</t>
  </si>
  <si>
    <t>Issuance of long-term debt</t>
  </si>
  <si>
    <t>(Repayment) of long-term debt</t>
  </si>
  <si>
    <t>Repurchase of equity</t>
  </si>
  <si>
    <t>Assumed current year P/E Multiple</t>
  </si>
  <si>
    <t>Cash Flow Available for Financing Activities</t>
  </si>
  <si>
    <t>(Repayment / Amortization)</t>
  </si>
  <si>
    <t>Average Balance</t>
  </si>
  <si>
    <t>Interest Rate</t>
  </si>
  <si>
    <t>Cash Balances:</t>
  </si>
  <si>
    <t>Interest (Income)</t>
  </si>
  <si>
    <t>Ending Balance</t>
  </si>
  <si>
    <t>Beginning Balance</t>
  </si>
  <si>
    <t>"One-way, vertical table"</t>
  </si>
  <si>
    <t>"Two-way table"</t>
  </si>
  <si>
    <t>Working Capital Balances</t>
  </si>
  <si>
    <t>CAGR</t>
  </si>
  <si>
    <t>Sales</t>
  </si>
  <si>
    <t>Gross Profit</t>
  </si>
  <si>
    <t>EBIT</t>
  </si>
  <si>
    <t>EBITDA</t>
  </si>
  <si>
    <t>Pretax Income</t>
  </si>
  <si>
    <t>Net Income</t>
  </si>
  <si>
    <t>Cash</t>
  </si>
  <si>
    <t>PP&amp;E, net</t>
  </si>
  <si>
    <t>Check</t>
  </si>
  <si>
    <t>Depreciation</t>
  </si>
  <si>
    <t>Cash Flow from Operating Activities:</t>
  </si>
  <si>
    <t>Cash Flow from Investing Activities:</t>
  </si>
  <si>
    <t>CASH FLOW AVAILABLE FOR FINANCING ACTIVITIES</t>
  </si>
  <si>
    <t>Cash Flow from Financing Activities:</t>
  </si>
  <si>
    <t>Net Change in Cash</t>
  </si>
  <si>
    <t>Cash Available for Debt Repayment</t>
  </si>
  <si>
    <t>Company Name</t>
  </si>
  <si>
    <t>Sub-header</t>
  </si>
  <si>
    <t>Step function</t>
  </si>
  <si>
    <t>Issuance</t>
  </si>
  <si>
    <t>Total Interest Expense</t>
  </si>
  <si>
    <t>Total Current Assets:</t>
  </si>
  <si>
    <t>Total Assets:</t>
  </si>
  <si>
    <t>Total Current Liabilities:</t>
  </si>
  <si>
    <t>Total Liabilities:</t>
  </si>
  <si>
    <t>Total Liabilities and Equity:</t>
  </si>
  <si>
    <t>Historicals not needed</t>
  </si>
  <si>
    <t>Goodwill</t>
  </si>
  <si>
    <t>Last Fiscal Year End</t>
  </si>
  <si>
    <r>
      <t>ç</t>
    </r>
    <r>
      <rPr>
        <sz val="10"/>
        <color indexed="23"/>
        <rFont val="Arial"/>
        <family val="2"/>
      </rPr>
      <t xml:space="preserve"> cell F3 is named </t>
    </r>
    <r>
      <rPr>
        <b/>
        <sz val="10"/>
        <color indexed="23"/>
        <rFont val="Arial"/>
        <family val="2"/>
      </rPr>
      <t>"name"</t>
    </r>
  </si>
  <si>
    <t>(Increase)/Decrease in Working Capital</t>
  </si>
  <si>
    <t>CapEx</t>
  </si>
  <si>
    <t>Select the first year out of parity</t>
  </si>
  <si>
    <t>Balance Sheet</t>
  </si>
  <si>
    <t>Cash Flow</t>
  </si>
  <si>
    <t>Difference</t>
  </si>
  <si>
    <t xml:space="preserve">  Working Capital</t>
  </si>
  <si>
    <t>Parity Check</t>
  </si>
  <si>
    <t>SG&amp;A expenses (as a % of sales)</t>
  </si>
  <si>
    <t xml:space="preserve">Beginning Bal. </t>
  </si>
  <si>
    <t>Ending Bal.</t>
  </si>
  <si>
    <t>Depr.</t>
  </si>
  <si>
    <t>Total</t>
  </si>
  <si>
    <t>Amortz</t>
  </si>
  <si>
    <t>Additions</t>
  </si>
  <si>
    <t>Payment</t>
  </si>
  <si>
    <t>NI</t>
  </si>
  <si>
    <t>StockComp</t>
  </si>
  <si>
    <t>Buyback</t>
  </si>
  <si>
    <t>Options</t>
  </si>
  <si>
    <t>Amortization expense</t>
  </si>
  <si>
    <t>Amortization as % of intangibles, net</t>
  </si>
  <si>
    <t>Total non-cash current assets ---&gt;</t>
  </si>
  <si>
    <t>Total non-debt current liabilities ---&gt;</t>
  </si>
  <si>
    <t>(Increase) / decrease in working capital ---&gt;</t>
  </si>
  <si>
    <t xml:space="preserve"> LESS: Net Debt (d) (e)</t>
  </si>
  <si>
    <t>Diluted weighted average shares (in millions)</t>
  </si>
  <si>
    <t>Earnings Per Share</t>
  </si>
  <si>
    <t>Effective tax rate</t>
  </si>
  <si>
    <t>Parity check (A = L+E)</t>
  </si>
  <si>
    <t>Dollars in millions, except per share</t>
  </si>
  <si>
    <t>Diluted shares:</t>
  </si>
  <si>
    <t xml:space="preserve">  </t>
  </si>
  <si>
    <t>tax adj.</t>
  </si>
  <si>
    <t xml:space="preserve">pre-tax </t>
  </si>
  <si>
    <t xml:space="preserve">after-tax </t>
  </si>
  <si>
    <t>Implied tax rate</t>
  </si>
  <si>
    <t xml:space="preserve">EBIT </t>
  </si>
  <si>
    <t>"Net debt" includes total debt &amp; minority interest less cash &amp; cash equivalents.</t>
  </si>
  <si>
    <t>(Increase)/decrease in working capital</t>
  </si>
  <si>
    <t>(Increase)/decrease in other long-term assets and liabilities</t>
  </si>
  <si>
    <t>(Increase)/Decrease in Other Long-Term Assets and Liabilities</t>
  </si>
  <si>
    <r>
      <t xml:space="preserve">Use </t>
    </r>
    <r>
      <rPr>
        <b/>
        <sz val="10"/>
        <color indexed="23"/>
        <rFont val="Arial"/>
        <family val="2"/>
      </rPr>
      <t>– MIN</t>
    </r>
    <r>
      <rPr>
        <sz val="10"/>
        <color indexed="23"/>
        <rFont val="Arial"/>
        <family val="2"/>
      </rPr>
      <t xml:space="preserve"> statement ---&gt;</t>
    </r>
  </si>
  <si>
    <t>Review 10K for repayment schedule -&gt;</t>
  </si>
  <si>
    <t>To deal with "negative zeros"</t>
  </si>
  <si>
    <t>Other current liabilities</t>
  </si>
  <si>
    <t>Total equity</t>
  </si>
  <si>
    <t>Debt tranche</t>
  </si>
  <si>
    <t>Rate</t>
  </si>
  <si>
    <t>Weighted avg.</t>
  </si>
  <si>
    <t>Fiscal Year 2009</t>
  </si>
  <si>
    <t>Fiscal Year 2008</t>
  </si>
  <si>
    <t>10-K, pg.15</t>
  </si>
  <si>
    <t>10-K, pg.17</t>
  </si>
  <si>
    <t>Fiscal Year 2007</t>
  </si>
  <si>
    <t>Reversal of legal reserves due to favorable results in litigation (SG&amp;A)</t>
  </si>
  <si>
    <t xml:space="preserve">Long-term debt </t>
  </si>
  <si>
    <t>Consensus price target of $36.00 as of December 1, 2009</t>
  </si>
  <si>
    <t>Restructuring costs (COGS)</t>
  </si>
  <si>
    <t>10-K, pg.73</t>
  </si>
  <si>
    <t>Gain from the sale of an idle manufacturing facility (Other operating)</t>
  </si>
  <si>
    <t>10-K, pg.16</t>
  </si>
  <si>
    <t>Gain from the sale of business (Other operating)</t>
  </si>
  <si>
    <t>Gain from settlement in lieu of condemnation (Other operating)</t>
  </si>
  <si>
    <t>related interest expense adj.</t>
  </si>
  <si>
    <t>Impairment of intangible and other assets (Other operating)</t>
  </si>
  <si>
    <t>2007 SG&amp;A excludes $20 million reversal of legal reserves due favorable results in litigation. Source: Campbell 2009 10-K, pg. 16.</t>
  </si>
  <si>
    <t xml:space="preserve">2009 Other operating excludes $67 million impairment charge. 2008 Other operating excludes $6 million impairment charge.  </t>
  </si>
  <si>
    <t>Interest expense (5)</t>
  </si>
  <si>
    <t>Additional tax adj.</t>
  </si>
  <si>
    <t>2007 Interest expense excludes $4 million non-cash benefit associated with legal settlement. Source: Campbell 2009 10-K, pg. 16.</t>
  </si>
  <si>
    <t>Income taxes (1) (2) (3) (4) (5) (6)</t>
  </si>
  <si>
    <t>Trading at $35.50 as of December 1, 2009</t>
  </si>
  <si>
    <t>Other operating (income) / expense (amount)</t>
  </si>
  <si>
    <t>Benefit from resolution of state tax contingency (Tax)</t>
  </si>
  <si>
    <t>Benefit from tax settlement of bilateral advance pricing agreements (Tax)</t>
  </si>
  <si>
    <t>10-K, pg.51</t>
  </si>
  <si>
    <t xml:space="preserve"> </t>
  </si>
  <si>
    <t>accelerated depreciation</t>
  </si>
  <si>
    <t>2007 other operating excludes total of $36 million in one time charges.  Source: Campbell 2009 10-K, pgs. 15 &amp; 73.</t>
  </si>
  <si>
    <t>Benefit from finalization of tax audits (Tax)</t>
  </si>
  <si>
    <t>10-K, pg.22</t>
  </si>
  <si>
    <t xml:space="preserve">2009 Income taxes exclude benefit from finalization of tax audits.  2008 Income taxes exclude benefit from the resolution of state tax contingency. 2007 income taxes exclude benefits from settlement </t>
  </si>
  <si>
    <t>of pricing agreements and finalization tax audits.  Source: Campbell 2009 10-K, pg. 11, 16-17.</t>
  </si>
  <si>
    <t>OLD I33  =I18-I32</t>
  </si>
  <si>
    <t>NEW I33 =IF(ABS(I18-I32)&lt;0.001,0,I18-I32)</t>
  </si>
  <si>
    <t>Consensus EPS CAGR of 8.0%</t>
  </si>
  <si>
    <t>Assume LT debt is refinanced ---&gt;</t>
  </si>
  <si>
    <t>Impairment charge (Other operating)</t>
  </si>
  <si>
    <t>Chubb Corporation</t>
  </si>
  <si>
    <t>Premiums Earned</t>
  </si>
  <si>
    <t>Investment Income</t>
  </si>
  <si>
    <t>Statutory Net Income</t>
  </si>
  <si>
    <t>Statutory Capital</t>
  </si>
  <si>
    <t>Common stock outstanding, end of year</t>
  </si>
  <si>
    <t>Repurchase of shares</t>
  </si>
  <si>
    <t>Equity securities</t>
  </si>
  <si>
    <t>ARD Ref Fair Value Assets Recur - Level 1</t>
  </si>
  <si>
    <t>Fixed maturities</t>
  </si>
  <si>
    <t>FV Assets-Rec.-Total:Securities available for sale</t>
  </si>
  <si>
    <t>ARD Ref Fair Value Assets Recur - Total</t>
  </si>
  <si>
    <t>FV Assets-Rec.-Level 3-Securities AFS: Other</t>
  </si>
  <si>
    <t>ARD Ref Fair Value Assets Recur - Level 3</t>
  </si>
  <si>
    <t>ARD Ref Fair Value Assets Recur - Level 2</t>
  </si>
  <si>
    <t>Long term debt (Note 8)</t>
  </si>
  <si>
    <t>Debt Schedule in yr 1</t>
  </si>
  <si>
    <t>Future Minimum Operating Lease Obligations</t>
  </si>
  <si>
    <t>Rental Expense - Beyond Year 5</t>
  </si>
  <si>
    <t>Rental Expense - Year 5</t>
  </si>
  <si>
    <t>Rental Expense - Year 4</t>
  </si>
  <si>
    <t>Rental Expense - Year 3</t>
  </si>
  <si>
    <t>Rental Expense - Year 2</t>
  </si>
  <si>
    <t>Debt Schedule in yr 5</t>
  </si>
  <si>
    <t>Rental Expense - Year 1</t>
  </si>
  <si>
    <t>Debt Schedule in yr 3</t>
  </si>
  <si>
    <t>$</t>
  </si>
  <si>
    <t>Current Rental Expense</t>
  </si>
  <si>
    <t>Office facilities</t>
  </si>
  <si>
    <t>Equipment</t>
  </si>
  <si>
    <t>Redeemable preferred stocks</t>
  </si>
  <si>
    <t>Tax exempt</t>
  </si>
  <si>
    <t>Redeemable preferred stocks.....</t>
  </si>
  <si>
    <t>Tax exempt........................</t>
  </si>
  <si>
    <t>Held-to-maturity — Tax exempt</t>
  </si>
  <si>
    <t>Held-to-maturity -- Tax exempt......</t>
  </si>
  <si>
    <t>Avg exercise price (Options exercisable)</t>
  </si>
  <si>
    <t>Exercisable, December 31, 2009</t>
  </si>
  <si>
    <t>Avg exercise price (Options outstanding)</t>
  </si>
  <si>
    <t>Outstanding, December 31, 2009</t>
  </si>
  <si>
    <t>Granted</t>
  </si>
  <si>
    <t>Expected average term (in years)</t>
  </si>
  <si>
    <t>Dividend yield</t>
  </si>
  <si>
    <t>Expected volatility</t>
  </si>
  <si>
    <t>Risk-free interest rate</t>
  </si>
  <si>
    <t>Weighted Average Cost of Options Granted</t>
  </si>
  <si>
    <t>Net deferred income tax asset</t>
  </si>
  <si>
    <t>Foreign tax credits</t>
  </si>
  <si>
    <t>Debt Schedule in yr 4</t>
  </si>
  <si>
    <t>Debt Schedule in yr 2</t>
  </si>
  <si>
    <t>Commercial mortgage-backed securities</t>
  </si>
  <si>
    <t>Residential mortgage-backed securities</t>
  </si>
  <si>
    <t>Mortgage-backed securities</t>
  </si>
  <si>
    <t>Mortgage-backed securities......</t>
  </si>
  <si>
    <t>Foreign government and government agency obligations</t>
  </si>
  <si>
    <t>Corporate bonds</t>
  </si>
  <si>
    <t>Corporate bonds.................</t>
  </si>
  <si>
    <t>U.S. Government and government agency and authority obligations</t>
  </si>
  <si>
    <t>obligations...................</t>
  </si>
  <si>
    <t>Foreign bonds</t>
  </si>
  <si>
    <t>Foreign bonds...................</t>
  </si>
  <si>
    <t>Total fixed maturities</t>
  </si>
  <si>
    <t>Total Investments In Securities</t>
  </si>
  <si>
    <t>Other Invested Assets</t>
  </si>
  <si>
    <t>Equity Securities (cost $1,563 and $1,907)</t>
  </si>
  <si>
    <t>Equity Securities (cost $1,907 and $1,561)</t>
  </si>
  <si>
    <t>Short Term Investments</t>
  </si>
  <si>
    <t>Equity Securities (cost $1,561 and $1,045)</t>
  </si>
  <si>
    <t>Equity Securities (cost $2,088.1 and $1,687.3)</t>
  </si>
  <si>
    <t>Total available-for-sale</t>
  </si>
  <si>
    <t>Equity Securities (cost $1,687.3 and $1,381.4)</t>
  </si>
  <si>
    <t>Equity Securities (cost $1,381.4 and $998.3)</t>
  </si>
  <si>
    <t>Equity Securities (cost $998.3 and $757.9)</t>
  </si>
  <si>
    <t>Equity Securities (cost $757.9 and $839.8)</t>
  </si>
  <si>
    <t>Total available-for-sale......</t>
  </si>
  <si>
    <t>Equity Securities (cost $839.8 and $715.0).............</t>
  </si>
  <si>
    <t>About 50% of our</t>
  </si>
  <si>
    <t>ARDR Quality Rating - Investment Grade</t>
  </si>
  <si>
    <t>ARDR Quality Rating - Unrated</t>
  </si>
  <si>
    <t>ARDR Quality Rating - AAA/aaa</t>
  </si>
  <si>
    <t>ARDR Qualtiy Rating - AA/aa</t>
  </si>
  <si>
    <t>ARDR Quality Rating - Below Investment Grade (BIG)</t>
  </si>
  <si>
    <t xml:space="preserve">It is uncertain whether and, if so, when we will be required to fund </t>
  </si>
  <si>
    <t>ARD Total Contractual Obligations</t>
  </si>
  <si>
    <t>ARD Contractual Obligations - beyond Year 5</t>
  </si>
  <si>
    <t>ARD Contractual Obligations - Years 4 &amp; 5</t>
  </si>
  <si>
    <t>ARD Contractual Obligations - Years 2 &amp; 3</t>
  </si>
  <si>
    <t>ARD Contractual Obligations - Year 1</t>
  </si>
  <si>
    <t>Debt Schedule - Total Long Term Debt</t>
  </si>
  <si>
    <t>Debt Schedule Thereafter</t>
  </si>
  <si>
    <t>Total Line of Credit</t>
  </si>
  <si>
    <t>Principal due under long term debt</t>
  </si>
  <si>
    <t>Book Value Per Share</t>
  </si>
  <si>
    <t>Annualized investment yield (after-tax)</t>
  </si>
  <si>
    <t>Annualized investment yield (pre-tax)</t>
  </si>
  <si>
    <t>Net Liability, End of Year</t>
  </si>
  <si>
    <t>/s/  Martin G. McGuinn (Martin G. McGuinn)</t>
  </si>
  <si>
    <t>Gross Liability, End of Year</t>
  </si>
  <si>
    <t>Ten years later</t>
  </si>
  <si>
    <t>Nine years later</t>
  </si>
  <si>
    <t>Eight years later</t>
  </si>
  <si>
    <t>Seven years later</t>
  </si>
  <si>
    <t>Six years later</t>
  </si>
  <si>
    <t>Five years later</t>
  </si>
  <si>
    <t>Four years later</t>
  </si>
  <si>
    <t>Three years later</t>
  </si>
  <si>
    <t>Two years later</t>
  </si>
  <si>
    <t>One year later</t>
  </si>
  <si>
    <t>ARD Ref Reestimated Reserves Year 3</t>
  </si>
  <si>
    <t>ARD Ref Reestimated Reserves Year 2</t>
  </si>
  <si>
    <t>ARD Ref Reestimated Reserves Year 1</t>
  </si>
  <si>
    <t>Net Liability for Unpaid Losses and Loss Adjustment Expenses</t>
  </si>
  <si>
    <t>Shares Outstanding from the Front Cover</t>
  </si>
  <si>
    <t>Par Value</t>
  </si>
  <si>
    <t>Treasury Shares (Number)</t>
  </si>
  <si>
    <t>Shares Issued</t>
  </si>
  <si>
    <t>ESOP Shares (Number)</t>
  </si>
  <si>
    <t>Reference Items</t>
  </si>
  <si>
    <t>Treasury Stock, Shares</t>
  </si>
  <si>
    <t>Common Stock, Shares Authorized</t>
  </si>
  <si>
    <t>Common Stock, Shares Issued</t>
  </si>
  <si>
    <t/>
  </si>
  <si>
    <t>Common Stock, Par Value</t>
  </si>
  <si>
    <t>TOTAL SHAREHOLDERS' EQUITY</t>
  </si>
  <si>
    <t>Foreign Currency Translation Gains, Net of Tax</t>
  </si>
  <si>
    <t>Unrealized Appreciation of Investments, Net of Tax</t>
  </si>
  <si>
    <t>Treasury Stock, at Cost - 39,972,796 and 19,726,097 Shares</t>
  </si>
  <si>
    <t>Accumulated Other Comprehensive Income (Loss)</t>
  </si>
  <si>
    <t>Retained Earnings</t>
  </si>
  <si>
    <t>Paid-In Surplus</t>
  </si>
  <si>
    <t xml:space="preserve">Common Stock - Authorized 1,200,000,000 Shares; $1 Par Value; Issued </t>
  </si>
  <si>
    <t>Preferred Stock - Authorized 8,000,000 Shares; $1 Par Value; Issued -</t>
  </si>
  <si>
    <t>Receivable from Employee Stock Ownership Plan</t>
  </si>
  <si>
    <t>Stockholder Equity</t>
  </si>
  <si>
    <t>TOTAL LIABILITIES</t>
  </si>
  <si>
    <t>Accrued Expenses and Other Liabilities</t>
  </si>
  <si>
    <t>Dividend Payable to Shareholders</t>
  </si>
  <si>
    <t>Securities Lending Payable</t>
  </si>
  <si>
    <t>Long Term Debt</t>
  </si>
  <si>
    <t>Short Term Debt</t>
  </si>
  <si>
    <t>Deferred Income Tax</t>
  </si>
  <si>
    <t>Unearned Premiums</t>
  </si>
  <si>
    <t>Unpaid Losses and Loss Expenses</t>
  </si>
  <si>
    <t>Reserves</t>
  </si>
  <si>
    <t>TOTAL ASSETS</t>
  </si>
  <si>
    <t>Other Assets</t>
  </si>
  <si>
    <t>Deferred Policy Acquisition Costs</t>
  </si>
  <si>
    <t>Prepaid Reinsurance Premiums</t>
  </si>
  <si>
    <t>Reinsurance Recoverable on Unpaid Losses and Loss Expenses</t>
  </si>
  <si>
    <t>Premiums Receivable</t>
  </si>
  <si>
    <t>Accrued Investment Income</t>
  </si>
  <si>
    <t>Real Estate Assets</t>
  </si>
  <si>
    <t>Securities Lending Collateral</t>
  </si>
  <si>
    <t>Investment in Partially Owned Company</t>
  </si>
  <si>
    <t>TOTAL INVESTED ASSETS</t>
  </si>
  <si>
    <t>Held-to-Maturity — Tax Exempt (market $142 and $216)</t>
  </si>
  <si>
    <t>Wt Avg Shares diluted</t>
  </si>
  <si>
    <t>Equity Securities (cost $1,215 and $1,563)</t>
  </si>
  <si>
    <t>Taxable (cost $16,071 and $16,470)</t>
  </si>
  <si>
    <t>Tax Exempt (cost $18,894 and $18,720)</t>
  </si>
  <si>
    <t>Taxable (cost $16,470 and $14,592)</t>
  </si>
  <si>
    <t>Tax Exempt (cost $18,720 and $18,299)</t>
  </si>
  <si>
    <t>Taxable (cost $14,592 and $15,266)</t>
  </si>
  <si>
    <t>Tax Exempt (cost $18,299 and $18,208)</t>
  </si>
  <si>
    <t>Taxable (cost $15,266 and $14,310)</t>
  </si>
  <si>
    <t>Tax Exempt (cost $18,208 and $17,314)</t>
  </si>
  <si>
    <t>Taxable (cost $14,310 and $14,515)</t>
  </si>
  <si>
    <t>Tax Exempt (cost $17,314 and $15,449)</t>
  </si>
  <si>
    <t>Taxable (cost $14,515.8 and $13,362.7)</t>
  </si>
  <si>
    <t>Tax Exempt (cost $15,448.5 and $13,522.6)</t>
  </si>
  <si>
    <t>Fixed Income Available for Sale</t>
  </si>
  <si>
    <t>Taxable (cost $10,531.8 and $8,112.5)</t>
  </si>
  <si>
    <t>Tax Exempt (cost $10,509.7 and $8,449.2)</t>
  </si>
  <si>
    <t>Taxable (cost $6,408.2 and $5,666.6)</t>
  </si>
  <si>
    <t>Tax Exempt (cost $8,053.8 and $8,053.8)</t>
  </si>
  <si>
    <t>Taxable (cost $5,666.6 and $5,054.7)</t>
  </si>
  <si>
    <t>Tax Exempt (cost $8,053.8 and $7,889.3)</t>
  </si>
  <si>
    <t>Investments</t>
  </si>
  <si>
    <t>Original</t>
  </si>
  <si>
    <t>Restated</t>
  </si>
  <si>
    <t>Status:</t>
  </si>
  <si>
    <t>CY1 2009</t>
  </si>
  <si>
    <t>CY1 2008</t>
  </si>
  <si>
    <t>CY1 2007</t>
  </si>
  <si>
    <t>CY1 2006</t>
  </si>
  <si>
    <t>CY1 2005</t>
  </si>
  <si>
    <t>CY1 2004</t>
  </si>
  <si>
    <t>CY1 2003</t>
  </si>
  <si>
    <t>CY1 2002</t>
  </si>
  <si>
    <t>CY1 2001</t>
  </si>
  <si>
    <t>CY1 2000</t>
  </si>
  <si>
    <t>Date:</t>
  </si>
  <si>
    <t>Default</t>
  </si>
  <si>
    <t>Consolidation Level</t>
  </si>
  <si>
    <t>Most Recent</t>
  </si>
  <si>
    <t>Reported Status</t>
  </si>
  <si>
    <t>As Reported Data</t>
  </si>
  <si>
    <t>Data Type</t>
  </si>
  <si>
    <t>Chronological</t>
  </si>
  <si>
    <t>Display Order</t>
  </si>
  <si>
    <t>Calendar Annually</t>
  </si>
  <si>
    <t>Periodicity</t>
  </si>
  <si>
    <t>End Date</t>
  </si>
  <si>
    <t>Start Date</t>
  </si>
  <si>
    <t>CHUBB CORP</t>
  </si>
  <si>
    <t>Name</t>
  </si>
  <si>
    <t>USD</t>
  </si>
  <si>
    <t>Currency</t>
  </si>
  <si>
    <t>CB US Equity</t>
  </si>
  <si>
    <t>Ticker</t>
  </si>
  <si>
    <t xml:space="preserve">Weighted average shares and potential shares assumed outstanding for </t>
  </si>
  <si>
    <t>Weighted average shares outstanding</t>
  </si>
  <si>
    <t>Dividends Declared Per Share</t>
  </si>
  <si>
    <t>Amortization of Deferred Policy Costs (Non-Life)</t>
  </si>
  <si>
    <t>Claims and Losses (Non-Life)</t>
  </si>
  <si>
    <t>Investment Income (Non-Life)</t>
  </si>
  <si>
    <t>Change in postretirement benefit costs not yet recognized in net inco</t>
  </si>
  <si>
    <t>Reclassification adjustment for realized gains included in net income</t>
  </si>
  <si>
    <t>Fixed charges</t>
  </si>
  <si>
    <t>Diluted earnings per share</t>
  </si>
  <si>
    <t>Basic earnings per share</t>
  </si>
  <si>
    <t>Reinsurance ceded</t>
  </si>
  <si>
    <t>Reinsurance assumed</t>
  </si>
  <si>
    <t>2015-2019</t>
  </si>
  <si>
    <t>Direct premiums written</t>
  </si>
  <si>
    <t>Expected Benefit Payments - Year 5</t>
  </si>
  <si>
    <t>Expected Benefit Payments - Year 4</t>
  </si>
  <si>
    <t>Expected Benefit Payments - Year 3</t>
  </si>
  <si>
    <t>Expected Benefit Payments - Year 2</t>
  </si>
  <si>
    <t>Short term investments</t>
  </si>
  <si>
    <t>Discount rate</t>
  </si>
  <si>
    <t>Rate to which the cost trend rate is assumed to decline (the ultimate</t>
  </si>
  <si>
    <t>Health Care Cost Trend Projected (next year) - %</t>
  </si>
  <si>
    <t>Expected Return on Plan Assets (other/healthcare) - %</t>
  </si>
  <si>
    <t>Expected Return on Plan Assets (pension) - %</t>
  </si>
  <si>
    <t>Discount Rate used on Liabs (other/healthcare) - %</t>
  </si>
  <si>
    <t>Pension Expense (Income)</t>
  </si>
  <si>
    <t>Expected return on plan assets</t>
  </si>
  <si>
    <t>Interest cost</t>
  </si>
  <si>
    <t>Service cost</t>
  </si>
  <si>
    <t>Employer Contribution (Postretirement)</t>
  </si>
  <si>
    <t>Employer Contribution (Pension)</t>
  </si>
  <si>
    <t>Rate of compensation increase</t>
  </si>
  <si>
    <t>Accumulated Benefit Obligation (Pension)</t>
  </si>
  <si>
    <t>Funded status at end of year, included in other liabilities</t>
  </si>
  <si>
    <t>Plan assets at fair value</t>
  </si>
  <si>
    <t>Benefit obligation</t>
  </si>
  <si>
    <t>Dividends Declared (per share $1.16, $1.00 and $.86)</t>
  </si>
  <si>
    <t>Stock Based Compensation Expense</t>
  </si>
  <si>
    <t>Net premiums earned</t>
  </si>
  <si>
    <t>Net premiums written</t>
  </si>
  <si>
    <t>Actual tax</t>
  </si>
  <si>
    <t>Deferred tax (credit), principally United States</t>
  </si>
  <si>
    <t>Foreign</t>
  </si>
  <si>
    <t>United States</t>
  </si>
  <si>
    <t>COMPREHENSIVE INCOME</t>
  </si>
  <si>
    <t>Change in Postretirement Benefit Costs Not Yet Recognized in Net Inco</t>
  </si>
  <si>
    <t>Foreign Currency Translation Gains (Losses)</t>
  </si>
  <si>
    <t>Change in Unrealized Appreciation or Depreciation of Investments</t>
  </si>
  <si>
    <t>Change in Unrealized Other-Than-Temporary Impairment Losses on Invest</t>
  </si>
  <si>
    <t>Net unrealized gains (losses) recognized in other comprehensive incom</t>
  </si>
  <si>
    <t>Change in Unrealized Appreciation of Investments</t>
  </si>
  <si>
    <t>Unrealized holding gains (losses) arising during the year</t>
  </si>
  <si>
    <t>Net unrealized gains (losses) recognizedin other comprehensive income</t>
  </si>
  <si>
    <t>Unrealized Gain (Loss) on Securities</t>
  </si>
  <si>
    <t>Change in Unrealized Appreciation of Investments, Net of Ta</t>
  </si>
  <si>
    <t>Change in Unrealized Appreciation or Depreciation</t>
  </si>
  <si>
    <t>Change in Unrealized Appreciation or Depreciation Investments, Net of</t>
  </si>
  <si>
    <t>Change in Unrealized Appreciation or Depreciation of Investments, Net</t>
  </si>
  <si>
    <t>Catastrophe Losses</t>
  </si>
  <si>
    <t>Combined loss and expense ratio</t>
  </si>
  <si>
    <t>Expense ratio</t>
  </si>
  <si>
    <t>Loss ratio</t>
  </si>
  <si>
    <t>Decrease in unearned premiums</t>
  </si>
  <si>
    <t>Accumulated postretirement benefit obligation</t>
  </si>
  <si>
    <t>Dividends Declared on Common Stock</t>
  </si>
  <si>
    <t>Realized Investment Gains (Losses), Net</t>
  </si>
  <si>
    <t>Underwriting Income</t>
  </si>
  <si>
    <t>Pension Plan Asset Category-Company Stock (%)</t>
  </si>
  <si>
    <t>Pension Plan Asset Category-Real Estate (%)</t>
  </si>
  <si>
    <t>Pension Plan Asset Category-Cash (%)</t>
  </si>
  <si>
    <t>Pension Plan Asset Category-Other (%)</t>
  </si>
  <si>
    <t>Insurance Operating Costs (Non-Life)</t>
  </si>
  <si>
    <t>Actual Return/Loss On Pension Plan Assets</t>
  </si>
  <si>
    <t>Pro Forma Diluted EPS (stock compensation)</t>
  </si>
  <si>
    <t>Pro Forma Net Income (stock compensation)</t>
  </si>
  <si>
    <t>Pension Plan Asset Category-Real Estate (amount)</t>
  </si>
  <si>
    <t>Pension Plan Asset Category-Company Stock(amount)</t>
  </si>
  <si>
    <t>Pension Plan Asset Category-Cash (amount)</t>
  </si>
  <si>
    <t>Foreign Currency Translation Gains (Losses), Net of Tax</t>
  </si>
  <si>
    <t>Change in Unrealized Appreciation of Investments, Net of Tax</t>
  </si>
  <si>
    <t>Comprehensive Income</t>
  </si>
  <si>
    <t>NET INCOME</t>
  </si>
  <si>
    <t>Diluted</t>
  </si>
  <si>
    <t>Basic</t>
  </si>
  <si>
    <t>Total Cash Common Dividends</t>
  </si>
  <si>
    <t>Dividends per Share</t>
  </si>
  <si>
    <t>Earnings</t>
  </si>
  <si>
    <t>Federal and Foreign Income Tax</t>
  </si>
  <si>
    <t>Non-Operating Expenses</t>
  </si>
  <si>
    <t>INCOME BEFORE FEDERAL AND FOREIGN INCOME TAX</t>
  </si>
  <si>
    <t>TOTAL LOSSES AND EXPENSES</t>
  </si>
  <si>
    <t>Corporate Expenses</t>
  </si>
  <si>
    <t>Other Expenses</t>
  </si>
  <si>
    <t>Investment Expenses</t>
  </si>
  <si>
    <t>Other Insurance Operating Costs and Expenses</t>
  </si>
  <si>
    <t>Amortization of Deferred Policy Acquisition Costs</t>
  </si>
  <si>
    <t>Losses and Loss Expenses</t>
  </si>
  <si>
    <t>Operating Expenses</t>
  </si>
  <si>
    <t>TOTAL REVENUES</t>
  </si>
  <si>
    <t>Other-Than-Temporary Impairment Losses on Investments Recognized in O</t>
  </si>
  <si>
    <t>Other Realized Investment Gains, Net</t>
  </si>
  <si>
    <t>Total Other-Than-Temporary Impairment Losses on Investments</t>
  </si>
  <si>
    <t>Realized Capital Gains/ Losses</t>
  </si>
  <si>
    <t>Realized Investment Gains</t>
  </si>
  <si>
    <t>Realized Investment Gains (Note 4)</t>
  </si>
  <si>
    <t>Other Revenues</t>
  </si>
  <si>
    <t>Real Estate and Other Revenues</t>
  </si>
  <si>
    <t>Revenues</t>
  </si>
  <si>
    <t>Income Statement</t>
  </si>
  <si>
    <t>Actual and Est</t>
  </si>
  <si>
    <t>Low Estimate</t>
  </si>
  <si>
    <t>High Estimate</t>
  </si>
  <si>
    <t>Average Estimate</t>
  </si>
  <si>
    <t>20 Street Estimates</t>
  </si>
  <si>
    <t>Operating Income/share (dil)</t>
  </si>
  <si>
    <t>Operating Income</t>
  </si>
  <si>
    <t>Growth Rate</t>
  </si>
  <si>
    <t>2012 est</t>
  </si>
  <si>
    <t>2011 est</t>
  </si>
  <si>
    <t>Year</t>
  </si>
  <si>
    <t>Year Ago EPS</t>
  </si>
  <si>
    <t>Forecast</t>
  </si>
  <si>
    <t>Actual</t>
  </si>
  <si>
    <t>FULL YEAR HEURISTIC</t>
  </si>
  <si>
    <t>Number of Analysts</t>
  </si>
  <si>
    <t>FY(12/12)</t>
  </si>
  <si>
    <t>FY(12/11)</t>
  </si>
  <si>
    <t>QTR(6/11)</t>
  </si>
  <si>
    <t>A</t>
  </si>
  <si>
    <t>EARNINGS ESTIMATES</t>
  </si>
  <si>
    <t>Diff (goes to "plug acct.)</t>
  </si>
  <si>
    <t>Liabs &amp; Eq</t>
  </si>
  <si>
    <t>Total Liab/Cap.</t>
  </si>
  <si>
    <t>Computation</t>
  </si>
  <si>
    <t>Equity + Total Debt</t>
  </si>
  <si>
    <t>Equity</t>
  </si>
  <si>
    <t>(including 25mm  share rep)- $1.5b</t>
  </si>
  <si>
    <t>Last Yrs EQ + R/inc - repurch</t>
  </si>
  <si>
    <t>Shares Outstanding</t>
  </si>
  <si>
    <t>Repurchase 6.25m/quarter</t>
  </si>
  <si>
    <t>Repurchase 6.5m/quarter</t>
  </si>
  <si>
    <t>Total Debt</t>
  </si>
  <si>
    <t>ST Debt + Lt Liabs</t>
  </si>
  <si>
    <t>Total L.T. Liab</t>
  </si>
  <si>
    <t>LT Debt + Other</t>
  </si>
  <si>
    <t>Other Liabs</t>
  </si>
  <si>
    <t>% of Sales</t>
  </si>
  <si>
    <t>L.t. Debt</t>
  </si>
  <si>
    <t>$400m matures</t>
  </si>
  <si>
    <t>Low Debt</t>
  </si>
  <si>
    <t>S.T. Debt</t>
  </si>
  <si>
    <t>Plug</t>
  </si>
  <si>
    <t>Balance Bal Sheet</t>
  </si>
  <si>
    <t>Total Assets</t>
  </si>
  <si>
    <t>W.Cap + Fixed Assets</t>
  </si>
  <si>
    <t>Total F Assets</t>
  </si>
  <si>
    <t>NPPE + Other FA</t>
  </si>
  <si>
    <t>Other FA</t>
  </si>
  <si>
    <t>Reinsurance Recoverable</t>
  </si>
  <si>
    <t xml:space="preserve">% of Sales </t>
  </si>
  <si>
    <t>Op W. Cap</t>
  </si>
  <si>
    <t>Curr Assets - Curr Liabs</t>
  </si>
  <si>
    <t>Curr Liabs</t>
  </si>
  <si>
    <t>A/P + Other</t>
  </si>
  <si>
    <t>Other CL</t>
  </si>
  <si>
    <t>% of Sales - lower trend reversal</t>
  </si>
  <si>
    <t>Unearned Prem</t>
  </si>
  <si>
    <t>Constant to Activity Cycle</t>
  </si>
  <si>
    <t>Relatively Constant</t>
  </si>
  <si>
    <t>Curr Assets</t>
  </si>
  <si>
    <t>Inv+A/R+Other+Cash+Ex</t>
  </si>
  <si>
    <t>Oper. Cash</t>
  </si>
  <si>
    <t>Other</t>
  </si>
  <si>
    <t>Plug since no excess cash</t>
  </si>
  <si>
    <t>Premiums Rec</t>
  </si>
  <si>
    <t>% of Annual Sales</t>
  </si>
  <si>
    <t>% of Sales/4</t>
  </si>
  <si>
    <t>Investments*</t>
  </si>
  <si>
    <t>Running total (+NI-Div-Share repurch)</t>
  </si>
  <si>
    <t>n/a</t>
  </si>
  <si>
    <t>Running total (+ RE - Div)</t>
  </si>
  <si>
    <t>R/Inc</t>
  </si>
  <si>
    <t>Net Inc-Div</t>
  </si>
  <si>
    <t>Dividend</t>
  </si>
  <si>
    <t>Constant $ value - share repurch/div increase cancel out</t>
  </si>
  <si>
    <t>$ value</t>
  </si>
  <si>
    <t>$/share x # shares outstdg.</t>
  </si>
  <si>
    <t>Average</t>
  </si>
  <si>
    <t>Net Inc/share (diluted)</t>
  </si>
  <si>
    <t>Op Inc/share (dil)</t>
  </si>
  <si>
    <t>Op Inc/share (diluted)</t>
  </si>
  <si>
    <t>Net Inc</t>
  </si>
  <si>
    <t>Tax Inc - Taxes</t>
  </si>
  <si>
    <t>Op Inc</t>
  </si>
  <si>
    <t>GP - SGA - Dep</t>
  </si>
  <si>
    <t>FULL YEAR</t>
  </si>
  <si>
    <t>Historic % of taxable income</t>
  </si>
  <si>
    <t>% of Taxable Income</t>
  </si>
  <si>
    <t>Tax Inc</t>
  </si>
  <si>
    <t>Op Inc - Int - Non-op Inc</t>
  </si>
  <si>
    <t>Non-Op Inc</t>
  </si>
  <si>
    <t>Zero</t>
  </si>
  <si>
    <t>Plug (excl from 8K)</t>
  </si>
  <si>
    <t>Net Realized Inv Gain</t>
  </si>
  <si>
    <t>Economic Recovery Increase</t>
  </si>
  <si>
    <t>Excluded from Op Inc</t>
  </si>
  <si>
    <t>19 Street Estimates</t>
  </si>
  <si>
    <t>Other Op Exp</t>
  </si>
  <si>
    <t>Historic %</t>
  </si>
  <si>
    <t>Inv &amp; Corp Exp</t>
  </si>
  <si>
    <t>Stable - status quo</t>
  </si>
  <si>
    <t>Historical % of Sales</t>
  </si>
  <si>
    <t>2011 4Q</t>
  </si>
  <si>
    <t>2011 3Q</t>
  </si>
  <si>
    <t>2011 2Q</t>
  </si>
  <si>
    <t>2011 1Q</t>
  </si>
  <si>
    <t>2010 4Q</t>
  </si>
  <si>
    <t>2010 3Q</t>
  </si>
  <si>
    <t>2010 2Q</t>
  </si>
  <si>
    <t>2010 1Q</t>
  </si>
  <si>
    <t>Quarter</t>
  </si>
  <si>
    <t>Gross Pft</t>
  </si>
  <si>
    <t>Sales - Losses and Amort Acq Cost</t>
  </si>
  <si>
    <t>2011 Fin Model Forecast</t>
  </si>
  <si>
    <t>2010 Actual</t>
  </si>
  <si>
    <t>Losses and Amort of Acq Costs</t>
  </si>
  <si>
    <t>1% lower claims as % sales</t>
  </si>
  <si>
    <t>QUARTERLY</t>
  </si>
  <si>
    <t>Premium Earn and Inv Income</t>
  </si>
  <si>
    <t>Economic Recovery (Cons Growth)</t>
  </si>
  <si>
    <t>Last quarter Sales Growth</t>
  </si>
  <si>
    <t>Explanation</t>
  </si>
  <si>
    <t>%</t>
  </si>
  <si>
    <t>Year-end</t>
  </si>
  <si>
    <t>F'cast</t>
  </si>
  <si>
    <t>Used in Pro Forma</t>
  </si>
  <si>
    <t>Historic Analysis</t>
  </si>
  <si>
    <t>Full Year</t>
  </si>
  <si>
    <t>Final</t>
  </si>
  <si>
    <t>1st Pass</t>
  </si>
  <si>
    <t>Final Forecast</t>
  </si>
  <si>
    <t>($ millions)</t>
  </si>
  <si>
    <t>Chubb Corporation – Pro Forma</t>
  </si>
  <si>
    <r>
      <t xml:space="preserve">The guidance and related assumptions are </t>
    </r>
    <r>
      <rPr>
        <sz val="14"/>
        <color indexed="8"/>
        <rFont val="Times New Roman"/>
        <family val="1"/>
      </rPr>
      <t>s</t>
    </r>
    <r>
      <rPr>
        <sz val="14"/>
        <rFont val="Times New Roman"/>
        <family val="1"/>
      </rPr>
      <t>ubject to the risks outlined in the company's forward-looking information safe-harbor statements (see below).</t>
    </r>
  </si>
  <si>
    <r>
      <t>·</t>
    </r>
    <r>
      <rPr>
        <sz val="7"/>
        <rFont val="Times New Roman"/>
        <family val="1"/>
      </rPr>
      <t xml:space="preserve">       </t>
    </r>
    <r>
      <rPr>
        <sz val="14"/>
        <rFont val="Times New Roman"/>
        <family val="1"/>
      </rPr>
      <t>Approximately 291 million average diluted shares outstanding for the year.</t>
    </r>
  </si>
  <si>
    <r>
      <t>·</t>
    </r>
    <r>
      <rPr>
        <sz val="7"/>
        <rFont val="Times New Roman"/>
        <family val="1"/>
      </rPr>
      <t xml:space="preserve">       </t>
    </r>
    <r>
      <rPr>
        <sz val="14"/>
        <rFont val="Times New Roman"/>
        <family val="1"/>
      </rPr>
      <t>A decline of 2% to 4% in property and casualty investment income after taxes.</t>
    </r>
  </si>
  <si>
    <r>
      <t>·</t>
    </r>
    <r>
      <rPr>
        <sz val="7"/>
        <rFont val="Times New Roman"/>
        <family val="1"/>
      </rPr>
      <t xml:space="preserve">       </t>
    </r>
    <r>
      <rPr>
        <sz val="14"/>
        <rFont val="Times New Roman"/>
        <family val="1"/>
      </rPr>
      <t xml:space="preserve">A combined ratio between 91% and 93% for the year, based on combined ratios of 91% to 94% for CPI, 94% to 97% for CCI and 85% to 88% for CSI. </t>
    </r>
  </si>
  <si>
    <r>
      <t>·</t>
    </r>
    <r>
      <rPr>
        <sz val="7"/>
        <rFont val="Times New Roman"/>
        <family val="1"/>
      </rPr>
      <t xml:space="preserve">       </t>
    </r>
    <r>
      <rPr>
        <sz val="14"/>
        <rFont val="Times New Roman"/>
        <family val="1"/>
      </rPr>
      <t>Catastrophe losses that have an impact of</t>
    </r>
    <r>
      <rPr>
        <sz val="14"/>
        <color indexed="8"/>
        <rFont val="Times New Roman"/>
        <family val="1"/>
      </rPr>
      <t xml:space="preserve"> 3.5 percentage points on the 2011 combined ratio, compared to 5.7 points of impact in 2010.  The assumed impact of catastrophe losses in 2011 is based on Chubb’s long-term average annual catastrophe losses of 3 percentage points adjusted upward by 0.5 percentage points to take into account anticipated higher than usual catastrophe losses in the first quarter of 2011 largely resulting from the January floods in Australia.  The impact of each percentage point of catastrophe losses on 2011 operating income per share is approximately $0.25.</t>
    </r>
  </si>
  <si>
    <r>
      <t>·</t>
    </r>
    <r>
      <rPr>
        <sz val="7"/>
        <rFont val="Times New Roman"/>
        <family val="1"/>
      </rPr>
      <t xml:space="preserve">       </t>
    </r>
    <r>
      <rPr>
        <sz val="14"/>
        <rFont val="Times New Roman"/>
        <family val="1"/>
      </rPr>
      <t xml:space="preserve">Net written premiums that are flat to up 2%.  </t>
    </r>
  </si>
  <si>
    <t>The operating income guidance for 2011 assumes:</t>
  </si>
  <si>
    <r>
      <t xml:space="preserve">Mr. Finnegan said that based on management’s current outlook, he expected Chubb to achieve </t>
    </r>
    <r>
      <rPr>
        <sz val="14"/>
        <color indexed="8"/>
        <rFont val="Times New Roman"/>
        <family val="1"/>
      </rPr>
      <t xml:space="preserve">2011 operating income per share in the range of $5.35 to $5.75.  </t>
    </r>
  </si>
  <si>
    <t>2011 Operating Income Guidance</t>
  </si>
  <si>
    <t>Wt Avg Shares (dil)</t>
  </si>
  <si>
    <t>Dil. EPS</t>
  </si>
  <si>
    <t>*on Unpaid Losses and Loss Expenses</t>
  </si>
  <si>
    <t>Source: Bloomberg, Mergent Online</t>
  </si>
  <si>
    <t>4Q</t>
  </si>
  <si>
    <t>Wt Avg Shares out</t>
  </si>
  <si>
    <t>Y/E 9/30/2010</t>
  </si>
  <si>
    <t>Shares (millions)</t>
  </si>
  <si>
    <t>Total L&amp;E</t>
  </si>
  <si>
    <t>Stk Equity</t>
  </si>
  <si>
    <t>Total L.T.</t>
  </si>
  <si>
    <t>Deferred Inc Tax</t>
  </si>
  <si>
    <t>L.T. Debt</t>
  </si>
  <si>
    <t>Total C.L.</t>
  </si>
  <si>
    <t>Other C.L.</t>
  </si>
  <si>
    <t>Accts Pay</t>
  </si>
  <si>
    <t>Total F.A.</t>
  </si>
  <si>
    <t>Other F.A.</t>
  </si>
  <si>
    <t>Investment Associated F.A.</t>
  </si>
  <si>
    <t>Reinsurance Recoverable*</t>
  </si>
  <si>
    <t>Total C.A.</t>
  </si>
  <si>
    <t>S/T Investments</t>
  </si>
  <si>
    <t>($ millions, except share data)</t>
  </si>
  <si>
    <t>Balance Sheet - Traditional</t>
  </si>
  <si>
    <t>The Chubb Corporation (CB)</t>
  </si>
  <si>
    <t>http://documentresearch.morningstar.com/</t>
  </si>
  <si>
    <t>Created by Morningstar Document Research.</t>
  </si>
  <si>
    <t>____________________________</t>
  </si>
  <si>
    <t>TOTAL LIABILITIES AND SHAREHOLDERS EQUITY</t>
  </si>
  <si>
    <t>TOTAL SHAREHOLDERS EQUITY</t>
  </si>
  <si>
    <t>39,972,796 Shares</t>
  </si>
  <si>
    <t>Treasury Stock, at Cost 67,047,923 and</t>
  </si>
  <si>
    <t>Accumulated Other Comprehensive Income</t>
  </si>
  <si>
    <t>Shares</t>
  </si>
  <si>
    <t>Common Stock $1 Par Value; 371,980,460</t>
  </si>
  <si>
    <t>Shareholders Equity</t>
  </si>
  <si>
    <t>Contingent Liabilities (Note 7)</t>
  </si>
  <si>
    <t>and Loss Expenses</t>
  </si>
  <si>
    <t>Reinsurance Recoverable on Unpaid Losses</t>
  </si>
  <si>
    <t>% of Rev</t>
  </si>
  <si>
    <t>Equity Securities (cost $1,253 and $1,215)</t>
  </si>
  <si>
    <t>Fixed Maturities</t>
  </si>
  <si>
    <t>Invested Assets</t>
  </si>
  <si>
    <t>(in millions)</t>
  </si>
  <si>
    <t>Dec. 31,</t>
  </si>
  <si>
    <t>Sept. 30,</t>
  </si>
  <si>
    <t>11/05/2010</t>
  </si>
  <si>
    <t>10-Q</t>
  </si>
  <si>
    <t>Capital</t>
  </si>
  <si>
    <t>Stk Eqty</t>
  </si>
  <si>
    <t>Total Liab</t>
  </si>
  <si>
    <t>Working Cap</t>
  </si>
  <si>
    <t>Balance Sheet - Capital</t>
  </si>
  <si>
    <t>Source: Derived</t>
  </si>
  <si>
    <t>Balance Sheet - Indexed</t>
  </si>
  <si>
    <t>Balance Sheet - Common Size</t>
  </si>
  <si>
    <t>***Corporate and other comprises investment income earned on corporate invested assets, interest
expense and other expenses not allocated to oper. subsidiaries</t>
  </si>
  <si>
    <t>**Losses + Amortization of Policy Acquisition Costs</t>
  </si>
  <si>
    <t>*Premiums Earned + Investment Income</t>
  </si>
  <si>
    <t>Source: Bloomberg</t>
  </si>
  <si>
    <t>DPS</t>
  </si>
  <si>
    <t>Div. PS</t>
  </si>
  <si>
    <t>Non-op Inc</t>
  </si>
  <si>
    <t>Non-op Inc (Loss)</t>
  </si>
  <si>
    <t>Int</t>
  </si>
  <si>
    <t>Int***</t>
  </si>
  <si>
    <t>Other Op Costs</t>
  </si>
  <si>
    <t>R&amp;D</t>
  </si>
  <si>
    <t>SG&amp;A</t>
  </si>
  <si>
    <t>COS</t>
  </si>
  <si>
    <t>COGS**</t>
  </si>
  <si>
    <t>Net Revenue</t>
  </si>
  <si>
    <t>Operating Rev*</t>
  </si>
  <si>
    <t>Rev Growth Rate</t>
  </si>
  <si>
    <t>Realized investment gains (losses) before tax</t>
  </si>
  <si>
    <t>Catastrophe losses in the third quarter of 2010</t>
  </si>
  <si>
    <t>Due in one year or less</t>
  </si>
  <si>
    <t>Combined Loss and Expense Ratio</t>
  </si>
  <si>
    <t>Combined ratio</t>
  </si>
  <si>
    <t>Combined Ratio As Reported (Non-Life) - %</t>
  </si>
  <si>
    <t>Underwriting Expenses to  Premiums Written</t>
  </si>
  <si>
    <t>Expense Ratios As Reported (Non-Life) - %</t>
  </si>
  <si>
    <t>Losses and Loss Expenses to  Premiums Earned</t>
  </si>
  <si>
    <t>Loss Ratio As Reported (Non-Life) - %</t>
  </si>
  <si>
    <t>Underwriting Income (Loss)</t>
  </si>
  <si>
    <t>Underwriting Loss</t>
  </si>
  <si>
    <t>Claims and Claim Expenses (includes asbestos and toxic waste claims o</t>
  </si>
  <si>
    <t>Claims and Claim Expenses</t>
  </si>
  <si>
    <t>Net Premiums Earned (Non-Life)</t>
  </si>
  <si>
    <t>Decrease in Unearned Premiums</t>
  </si>
  <si>
    <t>Change in Unearned Premiums (Non-Life)</t>
  </si>
  <si>
    <t>Increase in Unearned Premiums</t>
  </si>
  <si>
    <t>Decrease (Increase) in Unearned Premiums</t>
  </si>
  <si>
    <t>Total insurance</t>
  </si>
  <si>
    <t>Net Premiums Written (Non-Life)</t>
  </si>
  <si>
    <t>Net Premiums Written</t>
  </si>
  <si>
    <t>Amortization of Net Loss and Prior Service Cost Included in Net Postr</t>
  </si>
  <si>
    <t>Change in Unrealized Other-Than- Temporary Impairment Losses on Inves</t>
  </si>
  <si>
    <t>Other Comprehensive Income (Loss), Net of Tax Change in Unrealized Ap</t>
  </si>
  <si>
    <t>Catastrophic Ratio - %</t>
  </si>
  <si>
    <t>All Other</t>
  </si>
  <si>
    <t xml:space="preserve">Effect of Catastrophes on Combined Loss and Expense Ratio  Hurricane </t>
  </si>
  <si>
    <t>Diluted earnings (loss) per share</t>
  </si>
  <si>
    <t>Diluted EPS</t>
  </si>
  <si>
    <t>Basic EPS</t>
  </si>
  <si>
    <t>Basic earnings (loss) per share</t>
  </si>
  <si>
    <t>Effective Tax Rate - %</t>
  </si>
  <si>
    <t>CONSOLIDATED OPERATING INCOME</t>
  </si>
  <si>
    <t>Pro forma net income (loss)</t>
  </si>
  <si>
    <t>Diluted, pro forma</t>
  </si>
  <si>
    <t>Accumulated Benefit Obligation (Postretirement)</t>
  </si>
  <si>
    <t>Underwriting Expenses (Non-Life)</t>
  </si>
  <si>
    <t>Foreign Currency Translation Gains (Losses),Net of Tax</t>
  </si>
  <si>
    <t>Change in Unrealized Appreciation of Investments,Net of Tax</t>
  </si>
  <si>
    <t>Diluted EPS from Continuing Operations</t>
  </si>
  <si>
    <t>Income Before Federal and Foreign Income Tax</t>
  </si>
  <si>
    <t>Total Losses and Expenses</t>
  </si>
  <si>
    <t>Other Operating Expenses</t>
  </si>
  <si>
    <t>Real Estate and Other Expenses</t>
  </si>
  <si>
    <t>Real Estate Cost of Sales and Expenses</t>
  </si>
  <si>
    <t>Highlighted Expenses as % of Operating Sales</t>
  </si>
  <si>
    <t>Dividends to Policyholders.......</t>
  </si>
  <si>
    <t>Decrease (Increase) in Deferred        Policy Acquisition Costs......</t>
  </si>
  <si>
    <t>Incurred Losses and Loss Adjustment Expenses (Non-Life)</t>
  </si>
  <si>
    <t>Total Revenues</t>
  </si>
  <si>
    <t>Other Income......................</t>
  </si>
  <si>
    <t>Total Realized Investment Gains (Losses), Net</t>
  </si>
  <si>
    <t>#'s</t>
  </si>
  <si>
    <t>Decrease (Increase) in        Unearned Premiums...........</t>
  </si>
  <si>
    <t>Standard Deviation over last 3 years</t>
  </si>
  <si>
    <t>FORECASTING</t>
  </si>
  <si>
    <t>Realized Gains</t>
  </si>
  <si>
    <t>Est and Actual</t>
  </si>
  <si>
    <t>CQ4 2010</t>
  </si>
  <si>
    <t>CQ3 2010</t>
  </si>
  <si>
    <t>CQ2 2010</t>
  </si>
  <si>
    <t>CQ1 2010</t>
  </si>
  <si>
    <t>CQ4 2009</t>
  </si>
  <si>
    <t>CQ3 2009</t>
  </si>
  <si>
    <t>CQ2 2009</t>
  </si>
  <si>
    <t>CQ1 2009</t>
  </si>
  <si>
    <t>CQ3 2008</t>
  </si>
  <si>
    <t>CQ2 2008</t>
  </si>
  <si>
    <t>CQ1 2008</t>
  </si>
  <si>
    <t>CQ4 2007</t>
  </si>
  <si>
    <t>CQ3 2007</t>
  </si>
  <si>
    <t>CQ2 2007</t>
  </si>
  <si>
    <t>CQ1 2007</t>
  </si>
  <si>
    <t>CQ4 2006</t>
  </si>
  <si>
    <t>CQ3 2006</t>
  </si>
  <si>
    <t>CQ2 2006</t>
  </si>
  <si>
    <t>CQ1 2006</t>
  </si>
  <si>
    <t>CQ3 2005</t>
  </si>
  <si>
    <t>CQ2 2005</t>
  </si>
  <si>
    <t>CQ1 2005</t>
  </si>
  <si>
    <t>CQ3 2004</t>
  </si>
  <si>
    <t>CQ2 2004</t>
  </si>
  <si>
    <t>CQ1 2004</t>
  </si>
  <si>
    <t>CQ4 2003</t>
  </si>
  <si>
    <t>CQ3 2003</t>
  </si>
  <si>
    <t>CQ2 2003</t>
  </si>
  <si>
    <t>CQ1 2003</t>
  </si>
  <si>
    <t>CQ4 2002</t>
  </si>
  <si>
    <t>CQ3 2002</t>
  </si>
  <si>
    <t>CQ2 2002</t>
  </si>
  <si>
    <t>CQ1 2002</t>
  </si>
  <si>
    <t>CQ4 2001</t>
  </si>
  <si>
    <t>CQ3 2001</t>
  </si>
  <si>
    <t>CQ2 2001</t>
  </si>
  <si>
    <t>CQ1 2001</t>
  </si>
  <si>
    <t>CQ4 2000</t>
  </si>
  <si>
    <t>CQ3 2000</t>
  </si>
  <si>
    <t>CQ2 2000</t>
  </si>
  <si>
    <t>CQ1 2000</t>
  </si>
  <si>
    <t>Calendar Quarterly</t>
  </si>
  <si>
    <t>Taxes (2003 base)</t>
  </si>
  <si>
    <t>Tax Inc (2002 base)</t>
  </si>
  <si>
    <t>Op Inc (2002 base)</t>
  </si>
  <si>
    <t>Income Statement - Indexed</t>
  </si>
  <si>
    <t>n.a.</t>
  </si>
  <si>
    <t>Income Statement - Common Size</t>
  </si>
  <si>
    <t xml:space="preserve">         = NPM x Capital T/O x Lev</t>
  </si>
  <si>
    <t xml:space="preserve">         = Profit Margin x Capital Turnover x Financial Leverage</t>
  </si>
  <si>
    <t>ROE = Net Income / Stk Equity</t>
  </si>
  <si>
    <t>Notes:</t>
  </si>
  <si>
    <t>Capital T/O</t>
  </si>
  <si>
    <t>NPM</t>
  </si>
  <si>
    <t>ROC</t>
  </si>
  <si>
    <t>Lev</t>
  </si>
  <si>
    <t>ROE</t>
  </si>
  <si>
    <t>n.a, negligible - for example ------------------&gt;</t>
  </si>
  <si>
    <t>*Interest Expense</t>
  </si>
  <si>
    <t>Source:  Derived</t>
  </si>
  <si>
    <t>Source: Traveler's Conference Call (http://investor.travelers.com), Mergent Online</t>
  </si>
  <si>
    <t>Combined Ratio</t>
  </si>
  <si>
    <t>Expense Ratio</t>
  </si>
  <si>
    <t>Loss Ratio</t>
  </si>
  <si>
    <t>CYE 2010</t>
  </si>
  <si>
    <t>Insurance Ratios</t>
  </si>
  <si>
    <t>GPM</t>
  </si>
  <si>
    <t>Loss Ratio %</t>
  </si>
  <si>
    <t>Operating ROE % (Net)</t>
  </si>
  <si>
    <t>ROA % (Net)</t>
  </si>
  <si>
    <t>OROA</t>
  </si>
  <si>
    <t>09/30/2010</t>
  </si>
  <si>
    <t>Profitability</t>
  </si>
  <si>
    <t>X Int Earnd*</t>
  </si>
  <si>
    <t>Leverage</t>
  </si>
  <si>
    <t>Total Debt to Equity</t>
  </si>
  <si>
    <t>Debt Ratio</t>
  </si>
  <si>
    <t>Debt Management</t>
  </si>
  <si>
    <t>Solvency</t>
  </si>
  <si>
    <t>Capital T/O (w/o Goodwill and Intag.)</t>
  </si>
  <si>
    <t>Capital T/O (# times)</t>
  </si>
  <si>
    <t>F.A.T.O. (# times)</t>
  </si>
  <si>
    <t>Av Pmt Prd (days)</t>
  </si>
  <si>
    <t>Cash &amp; Equivalents Turnover</t>
  </si>
  <si>
    <t>Inv T/O (# times)</t>
  </si>
  <si>
    <t>Total Asset Turnover</t>
  </si>
  <si>
    <t>Av Coll Prd (days)</t>
  </si>
  <si>
    <t>Asset Management</t>
  </si>
  <si>
    <t>Acid Test</t>
  </si>
  <si>
    <t>Current</t>
  </si>
  <si>
    <t>Traveler's Companies Comp Ratios</t>
  </si>
  <si>
    <t>Ratios</t>
  </si>
  <si>
    <t>Book Value per Share</t>
  </si>
  <si>
    <t>Cash Flow per Share</t>
  </si>
  <si>
    <t>Per Share</t>
  </si>
  <si>
    <t>Calculated Tax Rate %</t>
  </si>
  <si>
    <t>ROE % (Net)</t>
  </si>
  <si>
    <t>Federal and foreign income taxes paid</t>
  </si>
  <si>
    <t>Cash Paid for Interest</t>
  </si>
  <si>
    <t>NET CASH USED IN FINANCING ACTIVITIES</t>
  </si>
  <si>
    <t>Stock-Based Employee Compensation Plans</t>
  </si>
  <si>
    <t>Net Increase (Decrease) in Cash</t>
  </si>
  <si>
    <t>Dividends Paid to Shareholders</t>
  </si>
  <si>
    <t>Repurchase of Shares</t>
  </si>
  <si>
    <t>Proceeds from Issuance of Common Stock Under Stock-Based Employee Com</t>
  </si>
  <si>
    <t>Proceeds from Common Stock Issued Upon Settlement of Equity Unit Purc</t>
  </si>
  <si>
    <t>Proceeds from Common Stock Issued Upon Settlement of Equity Unit Warr</t>
  </si>
  <si>
    <t>Issuance of Common Stock</t>
  </si>
  <si>
    <t>Proceeds from Common Stock Offering</t>
  </si>
  <si>
    <t>Proceeds from Issuance of Common Stock UnderIncentive and Purchase Pl</t>
  </si>
  <si>
    <t>Proceeds from Issuance of Common Stock Under Incentive and Purchase P</t>
  </si>
  <si>
    <t>Decrease in Funds Held under Deposit Contracts</t>
  </si>
  <si>
    <t>Other, Net</t>
  </si>
  <si>
    <t>Decrease in Funds Held Under Deposit Contracts</t>
  </si>
  <si>
    <t>Other Financing Activities</t>
  </si>
  <si>
    <t>Repayment of Long Term Debt</t>
  </si>
  <si>
    <t>Proceeds from Issuance of Long Term Debt</t>
  </si>
  <si>
    <t>Increase (Decrease) in Policyholders Account</t>
  </si>
  <si>
    <t>Increase (Decrease) in Short Term Debt, Net</t>
  </si>
  <si>
    <t>Cash from Financing Activities</t>
  </si>
  <si>
    <t>NET CASH USED IN INVESTING ACTIVITIES</t>
  </si>
  <si>
    <t>Decrease (Increase) in Short Term Investments, Net</t>
  </si>
  <si>
    <t>Purchases of Property and Equipment, Net</t>
  </si>
  <si>
    <t>Increase (Decrease) in Net Payable from Security Transactions not Set</t>
  </si>
  <si>
    <t>Investments in Other Invested Assets, Net</t>
  </si>
  <si>
    <t>Other Investing Activities</t>
  </si>
  <si>
    <t>Purchase of Investment in Partially Owned Company</t>
  </si>
  <si>
    <t>Purchases of Equity Securities</t>
  </si>
  <si>
    <t>Purchases of Fixed Maturities</t>
  </si>
  <si>
    <t>Proceeds from Sales of Equity Securities</t>
  </si>
  <si>
    <t>Proceeds from Fixed Maturities - Maturities, Calls and Redemptions</t>
  </si>
  <si>
    <t>Proceeds from Fixed Maturities - Sales</t>
  </si>
  <si>
    <t>Proceeds from Sale of Interest in Associated Aviation Underwriters, I</t>
  </si>
  <si>
    <t>Cash From Investing Activities</t>
  </si>
  <si>
    <t>Increase in Unpaid Losses and Loss Expenses, Net</t>
  </si>
  <si>
    <t>Decrease in Liability Related to Principal andInterest Guarantee</t>
  </si>
  <si>
    <t>NET CASH PROVIDED BY OPERATING ACTIVITIES</t>
  </si>
  <si>
    <t>Amortization of Premiums and Discounts on Fixed Maturities</t>
  </si>
  <si>
    <t>Decrease in Reinsurance Recoverable on Paid Losses</t>
  </si>
  <si>
    <t>Label</t>
  </si>
  <si>
    <t>Decrease in Unearned Premiums, Net</t>
  </si>
  <si>
    <t>Change in Deferred Policy Acquisition Costs</t>
  </si>
  <si>
    <t>Cash From Operating Activities</t>
  </si>
  <si>
    <t>EST</t>
  </si>
  <si>
    <t>From Q4 8-K</t>
  </si>
  <si>
    <t>Y/E 12/31/2010</t>
  </si>
  <si>
    <t>Premiums earned growth rate</t>
  </si>
  <si>
    <t>Amortization (4)</t>
  </si>
  <si>
    <t>Amortization of Policy Acquisition costs excluded</t>
  </si>
  <si>
    <t>SG&amp;A expenses</t>
  </si>
  <si>
    <t>Beginning Investments</t>
  </si>
  <si>
    <t>Realized Investment Gain/Loss</t>
  </si>
  <si>
    <t>Total Current Assets incl Investments:</t>
  </si>
  <si>
    <t>Change in Retained Earnings</t>
  </si>
  <si>
    <t>Ending Investments</t>
  </si>
  <si>
    <t>Other long-term liabilities  (used as plug)</t>
  </si>
  <si>
    <t>Operating EPS</t>
  </si>
  <si>
    <t>2011 Consensus Operating EPS $5.70</t>
  </si>
  <si>
    <t>Net Realized Investment Loss (Income) - per share</t>
  </si>
  <si>
    <t>Forecasted Including realized gain/loss which is excluded in non-GAAP Operating EPS</t>
  </si>
  <si>
    <t>Other operating (income) / expense</t>
  </si>
  <si>
    <t>Terminal Growth Rate</t>
  </si>
  <si>
    <t>PV of Explicit CFs</t>
  </si>
  <si>
    <t>PV of Continuing Value</t>
  </si>
  <si>
    <t>Shares Outstanding (mil)</t>
  </si>
  <si>
    <t>Share Value</t>
  </si>
  <si>
    <t>Discount factor</t>
  </si>
  <si>
    <t>Discounted cash flow</t>
  </si>
  <si>
    <t>WACC Calculation</t>
  </si>
  <si>
    <t>Free cash flow</t>
  </si>
  <si>
    <t>Tax Rate</t>
  </si>
  <si>
    <t>Cost of equity</t>
  </si>
  <si>
    <t>Cost of debt</t>
  </si>
  <si>
    <t>Equity risk premium</t>
  </si>
  <si>
    <t>Beta</t>
  </si>
  <si>
    <t>Risk free rate</t>
  </si>
  <si>
    <t>WACC</t>
  </si>
  <si>
    <t>Market Capitalization (2/11/2011)</t>
  </si>
  <si>
    <t>Book value of debt (billions)</t>
  </si>
  <si>
    <t>Free Cash Flow</t>
  </si>
  <si>
    <t>NOPLAT</t>
  </si>
  <si>
    <t>Interest Income</t>
  </si>
  <si>
    <t>Non-operating Income</t>
  </si>
  <si>
    <t>$ (millions)</t>
  </si>
  <si>
    <t>(Continuing Value)</t>
  </si>
  <si>
    <t>- Total debt</t>
  </si>
  <si>
    <t>Price (1)</t>
  </si>
  <si>
    <t>Price at beginning of quarter</t>
  </si>
  <si>
    <t>1Q08</t>
  </si>
  <si>
    <t>2Q08</t>
  </si>
  <si>
    <t>3Q08</t>
  </si>
  <si>
    <t>4Q08</t>
  </si>
  <si>
    <t>1Q09</t>
  </si>
  <si>
    <t>2Q09</t>
  </si>
  <si>
    <t>3Q09</t>
  </si>
  <si>
    <t>4Q09</t>
  </si>
  <si>
    <t>1Q10</t>
  </si>
  <si>
    <t>2Q10</t>
  </si>
  <si>
    <t>3Q10</t>
  </si>
  <si>
    <t>4Q10</t>
  </si>
  <si>
    <t>1Q11</t>
  </si>
  <si>
    <t>2Q11</t>
  </si>
  <si>
    <t>3Q11</t>
  </si>
  <si>
    <t>4Q11</t>
  </si>
  <si>
    <t>Sector</t>
  </si>
  <si>
    <t>CB</t>
  </si>
  <si>
    <t>TRV</t>
  </si>
  <si>
    <t>ALL</t>
  </si>
  <si>
    <t>PGR</t>
  </si>
  <si>
    <t>CNA</t>
  </si>
  <si>
    <t>CINF</t>
  </si>
  <si>
    <t>P/R Ratio (TTM)</t>
  </si>
  <si>
    <t>Price To Book Value</t>
  </si>
  <si>
    <t>P/E Ratio (TTM)</t>
  </si>
  <si>
    <t>Fwd P/E</t>
  </si>
  <si>
    <t>Fwd P/Rev</t>
  </si>
  <si>
    <t>1Q12</t>
  </si>
  <si>
    <t>TRV Forward P/E</t>
  </si>
  <si>
    <t>TRV Price</t>
  </si>
  <si>
    <t>TRV EPS</t>
  </si>
  <si>
    <t>Implied Forward P/E (2)</t>
  </si>
  <si>
    <t>Price/sum of next 4 quarters EPS</t>
  </si>
  <si>
    <t>S&amp;P 500 Price</t>
  </si>
  <si>
    <t>S&amp;P 500 EPS</t>
  </si>
  <si>
    <t>Sources: finance.yahoo.com, www.standardandpoors.com, Mergent Horizon</t>
  </si>
  <si>
    <t>% of TRV P/E</t>
  </si>
  <si>
    <t>Source: Mergent Horizon</t>
  </si>
  <si>
    <t>Travelers</t>
  </si>
  <si>
    <t>Allstate</t>
  </si>
  <si>
    <t>Progressive</t>
  </si>
  <si>
    <t>Cincinatti Financial</t>
  </si>
  <si>
    <t>CNA Financial</t>
  </si>
  <si>
    <t>WACC Sensitivity</t>
  </si>
  <si>
    <t>Invested Capital</t>
  </si>
  <si>
    <t>Operating Working Capital</t>
  </si>
  <si>
    <t>Current Assets</t>
  </si>
  <si>
    <t>Current Liabilities</t>
  </si>
  <si>
    <t>Net PPE</t>
  </si>
  <si>
    <t>Net Other Assets</t>
  </si>
  <si>
    <t>Total Invested Capital</t>
  </si>
  <si>
    <t>Chubb Actual</t>
  </si>
  <si>
    <t>Chubb Price</t>
  </si>
  <si>
    <t>Theoretical</t>
  </si>
  <si>
    <t>Theoretical Multiples</t>
  </si>
  <si>
    <t>S&amp;P Implied Forward P/E</t>
  </si>
  <si>
    <t>CB as % of S&amp;P 500 P/E</t>
  </si>
  <si>
    <t>Terminal Growth Rate and WACC Sensitivity Table</t>
  </si>
  <si>
    <t>AVERAGE:</t>
  </si>
  <si>
    <t>Intrinsic Value</t>
  </si>
  <si>
    <t>+ equity Value</t>
  </si>
  <si>
    <t>Dividend Discount Model</t>
  </si>
  <si>
    <t>DCF Valuation</t>
  </si>
  <si>
    <t>Final Intrinsic Value</t>
  </si>
  <si>
    <t>Multiple/Valuation Method</t>
  </si>
  <si>
    <t>Estimated Value</t>
  </si>
  <si>
    <t>Contribution</t>
  </si>
  <si>
    <t>Weight</t>
  </si>
  <si>
    <t>SELL</t>
  </si>
  <si>
    <t>Welcome to WallStreetOasis' free financial model templates! Download more free templates, master your finance career, and get top interviewing/networking/modeling tips at WallStreetOasis.com. You can find other services and information at WSO below:</t>
  </si>
  <si>
    <t>FREE RESOURCES</t>
  </si>
  <si>
    <t>PREMIUM RESOURCES &amp; SERVICES</t>
  </si>
  <si>
    <t>Join the WSO Community! &gt;&gt;</t>
  </si>
  <si>
    <t>Interview &amp; Prep Courses (IB, PE, HF, Consulting) &gt;&gt;</t>
  </si>
  <si>
    <t>Top FAQs &amp; Resources &gt;&gt;</t>
  </si>
  <si>
    <t>Resume Review Service &gt;&gt;</t>
  </si>
  <si>
    <t>Industry Reports &amp; Company Database &gt;&gt;</t>
  </si>
  <si>
    <t>Find a Mentor &gt;&gt;</t>
  </si>
  <si>
    <t>WSO Templates (Resume, Networking, Models, etc) &gt;&gt;</t>
  </si>
  <si>
    <t>GMAT/Series 7 Exam Prep Courses &gt;&gt;</t>
  </si>
  <si>
    <t>The Talent Oasis - Land a Job! &gt;&gt;</t>
  </si>
  <si>
    <t>Elite Modeling Package &gt;&gt;</t>
  </si>
  <si>
    <t>Financial Modeling Courses &gt;&gt;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</si>
</sst>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quot;$&quot;#,##0.0_);\(&quot;$&quot;#,##0.0\)"/>
    <numFmt numFmtId="165" formatCode="0.0%_);\(0.0%\)"/>
    <numFmt numFmtId="166" formatCode="#,##0.0_);\(#,##0.0\)"/>
    <numFmt numFmtId="167" formatCode="#,##0.000_);\(#,##0.000\)"/>
    <numFmt numFmtId="168" formatCode="#0.0\x"/>
    <numFmt numFmtId="169" formatCode="#0.0%_);\(#0.0%\)"/>
    <numFmt numFmtId="170" formatCode="0.00%_);\(0.00%\)"/>
    <numFmt numFmtId="171" formatCode="#0.00%_);\(#0.00%\)"/>
    <numFmt numFmtId="172" formatCode="0_);\(0\)"/>
    <numFmt numFmtId="173" formatCode=";;;"/>
    <numFmt numFmtId="174" formatCode="#,##0.0%_);\(#,##0.0%\)"/>
    <numFmt numFmtId="175" formatCode="0.000%_);\(0.000%\)"/>
    <numFmt numFmtId="176" formatCode="0\)"/>
    <numFmt numFmtId="177" formatCode="#,##0.0\x_)"/>
    <numFmt numFmtId="178" formatCode="#,##0.00%_);\(#,##0.00%\)"/>
    <numFmt numFmtId="179" formatCode="&quot;$&quot;#,##0.000_);\(&quot;$&quot;#,##0.000\)"/>
    <numFmt numFmtId="180" formatCode="#0.00\x"/>
    <numFmt numFmtId="181" formatCode="&quot;$&quot;#,##0.00"/>
    <numFmt numFmtId="182" formatCode="0.0%"/>
    <numFmt numFmtId="183" formatCode="_(* #,##0.0000_);_(* \(#,##0.0000\);_(* &quot;-&quot;_);_(@_)"/>
    <numFmt numFmtId="184" formatCode="_(* #,##0.00_);_(* \(#,##0.00\);_(* &quot;-&quot;_);_(@_)"/>
    <numFmt numFmtId="185" formatCode="_(* #,##0.0_);_(* \(#,##0.0\);_(* &quot;-&quot;_);_(@_)"/>
    <numFmt numFmtId="186" formatCode="####"/>
    <numFmt numFmtId="187" formatCode="&quot;$&quot;#,##0;[Red]\(&quot;$&quot;##,#00\)"/>
    <numFmt numFmtId="188" formatCode="#,##0;[Red]\(#,##0\)"/>
    <numFmt numFmtId="189" formatCode="0.000"/>
    <numFmt numFmtId="190" formatCode="#,##0.0000_);\(#,##0.0000\)"/>
    <numFmt numFmtId="191" formatCode="_(* #,##0.00000_);_(* \(#,##0.00000\);_(* &quot;-&quot;_);_(@_)"/>
  </numFmts>
  <fonts count="162">
    <font>
      <sz val="10"/>
      <name val="Arial"/>
    </font>
    <font>
      <sz val="12"/>
      <color theme="1"/>
      <name val="Calibri"/>
      <family val="2"/>
      <scheme val="minor"/>
    </font>
    <font>
      <sz val="10"/>
      <name val="Arial"/>
      <family val="2"/>
    </font>
    <font>
      <b/>
      <sz val="14"/>
      <color indexed="8"/>
      <name val="Arial"/>
      <family val="2"/>
    </font>
    <font>
      <sz val="6"/>
      <name val="Arial"/>
      <family val="2"/>
    </font>
    <font>
      <i/>
      <sz val="10"/>
      <name val="Arial"/>
      <family val="2"/>
    </font>
    <font>
      <u/>
      <sz val="10"/>
      <color indexed="12"/>
      <name val="Arial"/>
      <family val="2"/>
    </font>
    <font>
      <u/>
      <sz val="10"/>
      <name val="Arial"/>
      <family val="2"/>
    </font>
    <font>
      <sz val="10"/>
      <color indexed="12"/>
      <name val="Arial"/>
      <family val="2"/>
    </font>
    <font>
      <b/>
      <sz val="10"/>
      <name val="Arial"/>
      <family val="2"/>
    </font>
    <font>
      <sz val="8"/>
      <name val="Arial"/>
      <family val="2"/>
    </font>
    <font>
      <i/>
      <sz val="8"/>
      <name val="Arial"/>
      <family val="2"/>
    </font>
    <font>
      <b/>
      <sz val="14"/>
      <name val="Arial"/>
      <family val="2"/>
    </font>
    <font>
      <sz val="10"/>
      <color indexed="8"/>
      <name val="Arial"/>
      <family val="2"/>
    </font>
    <font>
      <sz val="10"/>
      <name val="Arial"/>
      <family val="2"/>
    </font>
    <font>
      <b/>
      <sz val="10"/>
      <color indexed="8"/>
      <name val="Arial"/>
      <family val="2"/>
    </font>
    <font>
      <sz val="10"/>
      <color indexed="10"/>
      <name val="Arial"/>
      <family val="2"/>
    </font>
    <font>
      <sz val="10"/>
      <color indexed="17"/>
      <name val="Arial"/>
      <family val="2"/>
    </font>
    <font>
      <sz val="8"/>
      <name val="Arial"/>
      <family val="2"/>
    </font>
    <font>
      <b/>
      <sz val="12"/>
      <name val="Arial"/>
      <family val="2"/>
    </font>
    <font>
      <b/>
      <sz val="10"/>
      <color indexed="12"/>
      <name val="Arial"/>
      <family val="2"/>
    </font>
    <font>
      <u/>
      <sz val="10"/>
      <color indexed="17"/>
      <name val="Arial"/>
      <family val="2"/>
    </font>
    <font>
      <b/>
      <u/>
      <sz val="10"/>
      <name val="Arial"/>
      <family val="2"/>
    </font>
    <font>
      <b/>
      <sz val="10"/>
      <color indexed="10"/>
      <name val="Arial"/>
      <family val="2"/>
    </font>
    <font>
      <u/>
      <sz val="10"/>
      <name val="Arial"/>
      <family val="2"/>
    </font>
    <font>
      <sz val="12"/>
      <name val="Arial"/>
      <family val="2"/>
    </font>
    <font>
      <sz val="12"/>
      <name val="Wingdings 2"/>
      <family val="1"/>
    </font>
    <font>
      <sz val="12"/>
      <color indexed="12"/>
      <name val="Arial"/>
      <family val="2"/>
    </font>
    <font>
      <sz val="12"/>
      <name val="Arial"/>
      <family val="2"/>
    </font>
    <font>
      <sz val="12"/>
      <color indexed="8"/>
      <name val="Arial"/>
      <family val="2"/>
    </font>
    <font>
      <sz val="12"/>
      <color indexed="10"/>
      <name val="Arial"/>
      <family val="2"/>
    </font>
    <font>
      <sz val="10"/>
      <color indexed="8"/>
      <name val="Arial"/>
      <family val="2"/>
    </font>
    <font>
      <sz val="10"/>
      <color indexed="17"/>
      <name val="Arial"/>
      <family val="2"/>
    </font>
    <font>
      <sz val="10"/>
      <color indexed="10"/>
      <name val="Arial"/>
      <family val="2"/>
    </font>
    <font>
      <sz val="10"/>
      <color indexed="23"/>
      <name val="Wingdings"/>
      <charset val="2"/>
    </font>
    <font>
      <sz val="10"/>
      <color indexed="23"/>
      <name val="Arial"/>
      <family val="2"/>
    </font>
    <font>
      <b/>
      <sz val="10"/>
      <color indexed="23"/>
      <name val="Arial"/>
      <family val="2"/>
    </font>
    <font>
      <sz val="7"/>
      <color indexed="10"/>
      <name val="Arial"/>
      <family val="2"/>
    </font>
    <font>
      <b/>
      <sz val="7"/>
      <color indexed="10"/>
      <name val="Arial"/>
      <family val="2"/>
    </font>
    <font>
      <sz val="8"/>
      <color indexed="8"/>
      <name val="Arial"/>
      <family val="2"/>
    </font>
    <font>
      <sz val="7"/>
      <color indexed="10"/>
      <name val="Arial"/>
      <family val="2"/>
    </font>
    <font>
      <b/>
      <u/>
      <sz val="10"/>
      <color indexed="10"/>
      <name val="Arial"/>
      <family val="2"/>
    </font>
    <font>
      <b/>
      <sz val="8"/>
      <color indexed="81"/>
      <name val="Tahoma"/>
      <family val="2"/>
    </font>
    <font>
      <sz val="8"/>
      <color indexed="81"/>
      <name val="Tahoma"/>
      <family val="2"/>
    </font>
    <font>
      <b/>
      <sz val="10"/>
      <color indexed="81"/>
      <name val="Tahoma"/>
      <family val="2"/>
    </font>
    <font>
      <sz val="10"/>
      <color indexed="81"/>
      <name val="Tahoma"/>
      <family val="2"/>
    </font>
    <font>
      <b/>
      <u/>
      <sz val="12"/>
      <name val="Arial"/>
      <family val="2"/>
    </font>
    <font>
      <i/>
      <sz val="10"/>
      <color indexed="10"/>
      <name val="Arial"/>
      <family val="2"/>
    </font>
    <font>
      <u/>
      <sz val="10"/>
      <color indexed="8"/>
      <name val="Arial"/>
      <family val="2"/>
    </font>
    <font>
      <i/>
      <sz val="10"/>
      <color indexed="12"/>
      <name val="Arial"/>
      <family val="2"/>
    </font>
    <font>
      <b/>
      <sz val="10"/>
      <color indexed="8"/>
      <name val="Arial"/>
      <family val="2"/>
    </font>
    <font>
      <b/>
      <sz val="8"/>
      <name val="Arial"/>
      <family val="2"/>
    </font>
    <font>
      <sz val="8"/>
      <color indexed="12"/>
      <name val="Arial"/>
      <family val="2"/>
    </font>
    <font>
      <sz val="8"/>
      <color indexed="23"/>
      <name val="Arial"/>
      <family val="2"/>
    </font>
    <font>
      <b/>
      <sz val="8"/>
      <color indexed="23"/>
      <name val="Arial"/>
      <family val="2"/>
    </font>
    <font>
      <b/>
      <sz val="10"/>
      <color indexed="9"/>
      <name val="Arial"/>
      <family val="2"/>
    </font>
    <font>
      <b/>
      <sz val="12"/>
      <color indexed="9"/>
      <name val="Arial"/>
      <family val="2"/>
    </font>
    <font>
      <i/>
      <sz val="7"/>
      <color indexed="10"/>
      <name val="Arial"/>
      <family val="2"/>
    </font>
    <font>
      <i/>
      <sz val="10"/>
      <color indexed="23"/>
      <name val="Arial"/>
      <family val="2"/>
    </font>
    <font>
      <i/>
      <sz val="10"/>
      <color indexed="55"/>
      <name val="Arial"/>
      <family val="2"/>
    </font>
    <font>
      <b/>
      <sz val="9.5"/>
      <name val="Arial"/>
      <family val="2"/>
    </font>
    <font>
      <b/>
      <u/>
      <sz val="14"/>
      <name val="Arial"/>
      <family val="2"/>
    </font>
    <font>
      <sz val="8"/>
      <name val="Arial"/>
      <family val="2"/>
    </font>
    <font>
      <b/>
      <sz val="10"/>
      <name val="Arial"/>
      <family val="2"/>
    </font>
    <font>
      <sz val="7"/>
      <color indexed="10"/>
      <name val="Arial"/>
      <family val="2"/>
    </font>
    <font>
      <sz val="10"/>
      <name val="Arial"/>
      <family val="2"/>
    </font>
    <font>
      <i/>
      <sz val="10"/>
      <color indexed="17"/>
      <name val="Arial"/>
      <family val="2"/>
    </font>
    <font>
      <i/>
      <sz val="10"/>
      <color indexed="23"/>
      <name val="Arial"/>
      <family val="2"/>
    </font>
    <font>
      <sz val="10"/>
      <color indexed="23"/>
      <name val="Arial"/>
      <family val="2"/>
    </font>
    <font>
      <b/>
      <i/>
      <sz val="8"/>
      <color indexed="23"/>
      <name val="Arial"/>
      <family val="2"/>
    </font>
    <font>
      <sz val="10"/>
      <name val="Arial"/>
      <family val="2"/>
    </font>
    <font>
      <i/>
      <sz val="10"/>
      <color indexed="8"/>
      <name val="Arial"/>
      <family val="2"/>
    </font>
    <font>
      <i/>
      <sz val="8"/>
      <color indexed="8"/>
      <name val="Arial"/>
      <family val="2"/>
    </font>
    <font>
      <b/>
      <i/>
      <sz val="10"/>
      <color indexed="23"/>
      <name val="Arial"/>
      <family val="2"/>
    </font>
    <font>
      <sz val="10"/>
      <color indexed="17"/>
      <name val="Arial"/>
      <family val="2"/>
    </font>
    <font>
      <b/>
      <i/>
      <sz val="10"/>
      <name val="Arial"/>
      <family val="2"/>
    </font>
    <font>
      <sz val="10"/>
      <color indexed="8"/>
      <name val="Arial"/>
      <family val="2"/>
    </font>
    <font>
      <sz val="9"/>
      <color indexed="81"/>
      <name val="Tahoma"/>
      <family val="2"/>
    </font>
    <font>
      <b/>
      <sz val="9"/>
      <color indexed="81"/>
      <name val="Tahoma"/>
      <family val="2"/>
    </font>
    <font>
      <sz val="10"/>
      <color indexed="10"/>
      <name val="Arial"/>
      <family val="2"/>
    </font>
    <font>
      <sz val="7"/>
      <color indexed="8"/>
      <name val="Arial"/>
      <family val="2"/>
    </font>
    <font>
      <b/>
      <u/>
      <sz val="10"/>
      <color indexed="8"/>
      <name val="Arial"/>
      <family val="2"/>
    </font>
    <font>
      <b/>
      <sz val="10"/>
      <color indexed="8"/>
      <name val="Times New Roman"/>
      <family val="1"/>
    </font>
    <font>
      <sz val="10"/>
      <color indexed="8"/>
      <name val="Times New Roman"/>
      <family val="1"/>
    </font>
    <font>
      <b/>
      <sz val="16"/>
      <name val="Arial"/>
      <family val="2"/>
    </font>
    <font>
      <sz val="10"/>
      <color indexed="12"/>
      <name val="Arial"/>
      <family val="2"/>
    </font>
    <font>
      <b/>
      <sz val="9"/>
      <color indexed="81"/>
      <name val="Arial"/>
      <family val="2"/>
    </font>
    <font>
      <sz val="9"/>
      <color indexed="81"/>
      <name val="Arial"/>
      <family val="2"/>
    </font>
    <font>
      <sz val="10"/>
      <color indexed="17"/>
      <name val="Arial"/>
      <family val="2"/>
    </font>
    <font>
      <b/>
      <i/>
      <sz val="10"/>
      <color indexed="10"/>
      <name val="Arial"/>
      <family val="2"/>
    </font>
    <font>
      <b/>
      <i/>
      <u/>
      <sz val="10"/>
      <color indexed="10"/>
      <name val="Arial"/>
      <family val="2"/>
    </font>
    <font>
      <sz val="10"/>
      <color indexed="17"/>
      <name val="Arial"/>
      <family val="2"/>
    </font>
    <font>
      <b/>
      <i/>
      <sz val="10"/>
      <color rgb="FFFF0000"/>
      <name val="Arial"/>
      <family val="2"/>
    </font>
    <font>
      <sz val="11"/>
      <color theme="1"/>
      <name val="Calibri"/>
      <family val="2"/>
      <scheme val="minor"/>
    </font>
    <font>
      <b/>
      <sz val="11"/>
      <color theme="1"/>
      <name val="Calibri"/>
      <family val="2"/>
      <scheme val="minor"/>
    </font>
    <font>
      <sz val="9"/>
      <color indexed="0"/>
      <name val="Helvetica"/>
    </font>
    <font>
      <sz val="10"/>
      <color rgb="FF008000"/>
      <name val="Arial"/>
      <family val="2"/>
    </font>
    <font>
      <sz val="10"/>
      <color rgb="FFFF0000"/>
      <name val="Arial"/>
      <family val="2"/>
    </font>
    <font>
      <b/>
      <sz val="9"/>
      <color rgb="FF333333"/>
      <name val="Arial"/>
      <family val="2"/>
    </font>
    <font>
      <sz val="10"/>
      <name val="Miriam"/>
      <family val="2"/>
      <charset val="177"/>
    </font>
    <font>
      <b/>
      <sz val="10"/>
      <name val="Miriam"/>
      <family val="2"/>
      <charset val="177"/>
    </font>
    <font>
      <b/>
      <sz val="10"/>
      <color theme="0"/>
      <name val="Arial"/>
      <family val="2"/>
    </font>
    <font>
      <b/>
      <sz val="20"/>
      <color theme="0"/>
      <name val="Arial"/>
      <family val="2"/>
    </font>
    <font>
      <b/>
      <sz val="10"/>
      <color rgb="FFFFFF00"/>
      <name val="Arial"/>
      <family val="2"/>
    </font>
    <font>
      <sz val="20"/>
      <name val="Miriam"/>
      <family val="2"/>
      <charset val="177"/>
    </font>
    <font>
      <sz val="14"/>
      <name val="Times New Roman"/>
      <family val="1"/>
    </font>
    <font>
      <sz val="14"/>
      <color indexed="8"/>
      <name val="Times New Roman"/>
      <family val="1"/>
    </font>
    <font>
      <sz val="14"/>
      <name val="Symbol"/>
      <family val="1"/>
      <charset val="2"/>
    </font>
    <font>
      <sz val="7"/>
      <name val="Times New Roman"/>
      <family val="1"/>
    </font>
    <font>
      <b/>
      <sz val="14"/>
      <name val="Times New Roman"/>
      <family val="1"/>
    </font>
    <font>
      <b/>
      <u/>
      <sz val="14"/>
      <name val="Times New Roman"/>
      <family val="1"/>
    </font>
    <font>
      <sz val="12"/>
      <name val="Times New Roman"/>
      <family val="1"/>
    </font>
    <font>
      <b/>
      <sz val="12"/>
      <name val="Times New Roman"/>
      <family val="1"/>
    </font>
    <font>
      <sz val="12"/>
      <color indexed="8"/>
      <name val="Times New Roman"/>
      <family val="1"/>
    </font>
    <font>
      <i/>
      <sz val="12"/>
      <name val="Times New Roman"/>
      <family val="1"/>
    </font>
    <font>
      <b/>
      <i/>
      <sz val="12"/>
      <name val="Times New Roman"/>
      <family val="1"/>
    </font>
    <font>
      <b/>
      <sz val="18"/>
      <name val="Times New Roman"/>
      <family val="1"/>
    </font>
    <font>
      <b/>
      <sz val="24"/>
      <name val="Times New Roman"/>
      <family val="1"/>
    </font>
    <font>
      <b/>
      <sz val="9"/>
      <color indexed="0"/>
      <name val="Courier New"/>
      <family val="3"/>
    </font>
    <font>
      <sz val="9"/>
      <color indexed="0"/>
      <name val="Courier New"/>
      <family val="3"/>
    </font>
    <font>
      <sz val="14"/>
      <name val="Arial"/>
      <family val="2"/>
    </font>
    <font>
      <b/>
      <sz val="10"/>
      <name val="Times New Roman"/>
      <family val="1"/>
    </font>
    <font>
      <sz val="10"/>
      <name val="Times New Roman"/>
      <family val="1"/>
    </font>
    <font>
      <i/>
      <sz val="10"/>
      <name val="Times New Roman"/>
      <family val="1"/>
    </font>
    <font>
      <b/>
      <sz val="11"/>
      <name val="Times New Roman"/>
      <family val="1"/>
    </font>
    <font>
      <sz val="10"/>
      <name val="Arial"/>
      <family val="2"/>
    </font>
    <font>
      <sz val="10"/>
      <color rgb="FF002060"/>
      <name val="Arial"/>
      <family val="2"/>
    </font>
    <font>
      <sz val="9"/>
      <color theme="1"/>
      <name val="Arial"/>
      <family val="2"/>
    </font>
    <font>
      <sz val="9"/>
      <color rgb="FF0070C0"/>
      <name val="Arial"/>
      <family val="2"/>
    </font>
    <font>
      <b/>
      <sz val="9"/>
      <color theme="0"/>
      <name val="Arial"/>
      <family val="2"/>
    </font>
    <font>
      <b/>
      <sz val="9"/>
      <color theme="1"/>
      <name val="Arial"/>
      <family val="2"/>
    </font>
    <font>
      <b/>
      <u val="singleAccounting"/>
      <sz val="9"/>
      <color theme="1"/>
      <name val="Arial"/>
      <family val="2"/>
    </font>
    <font>
      <sz val="9"/>
      <name val="Arial"/>
      <family val="2"/>
    </font>
    <font>
      <u/>
      <sz val="10"/>
      <color theme="10"/>
      <name val="Arial"/>
      <family val="2"/>
    </font>
    <font>
      <u/>
      <sz val="10"/>
      <color indexed="12"/>
      <name val="MS Sans Serif"/>
      <family val="2"/>
    </font>
    <font>
      <sz val="9"/>
      <name val="TIMES"/>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Arial"/>
      <family val="2"/>
    </font>
    <font>
      <sz val="20"/>
      <name val="Arial"/>
      <family val="2"/>
    </font>
    <font>
      <sz val="48"/>
      <name val="Arial"/>
      <family val="2"/>
    </font>
    <font>
      <sz val="11"/>
      <name val="Arial"/>
      <family val="2"/>
    </font>
    <font>
      <b/>
      <sz val="12"/>
      <color theme="1"/>
      <name val="Calibri"/>
      <family val="2"/>
      <scheme val="minor"/>
    </font>
    <font>
      <b/>
      <sz val="18"/>
      <color theme="1"/>
      <name val="Calibri"/>
      <family val="2"/>
      <scheme val="minor"/>
    </font>
    <font>
      <u/>
      <sz val="12"/>
      <color theme="10"/>
      <name val="Calibri"/>
      <family val="2"/>
      <scheme val="minor"/>
    </font>
    <font>
      <b/>
      <u/>
      <sz val="12"/>
      <color theme="10"/>
      <name val="Calibri"/>
      <family val="2"/>
      <scheme val="minor"/>
    </font>
    <font>
      <b/>
      <u/>
      <sz val="18"/>
      <color theme="10"/>
      <name val="Calibri"/>
      <family val="2"/>
      <scheme val="minor"/>
    </font>
  </fonts>
  <fills count="52">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8"/>
        <bgColor indexed="64"/>
      </patternFill>
    </fill>
    <fill>
      <patternFill patternType="solid">
        <fgColor rgb="FFFF0000"/>
        <bgColor indexed="64"/>
      </patternFill>
    </fill>
    <fill>
      <patternFill patternType="solid">
        <fgColor theme="3" tint="0.39997558519241921"/>
        <bgColor indexed="64"/>
      </patternFill>
    </fill>
    <fill>
      <patternFill patternType="solid">
        <fgColor rgb="FF00B050"/>
        <bgColor indexed="64"/>
      </patternFill>
    </fill>
    <fill>
      <patternFill patternType="solid">
        <fgColor theme="6" tint="0.39997558519241921"/>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4" tint="-0.249977111117893"/>
        <bgColor indexed="64"/>
      </patternFill>
    </fill>
    <fill>
      <patternFill patternType="solid">
        <fgColor theme="1" tint="0.34998626667073579"/>
        <bgColor indexed="64"/>
      </patternFill>
    </fill>
    <fill>
      <patternFill patternType="solid">
        <fgColor theme="4" tint="0.39997558519241921"/>
        <bgColor indexed="64"/>
      </patternFill>
    </fill>
    <fill>
      <patternFill patternType="solid">
        <fgColor rgb="FFFFC000"/>
        <bgColor indexed="64"/>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2" tint="-9.9978637043366805E-2"/>
        <bgColor indexed="64"/>
      </patternFill>
    </fill>
    <fill>
      <patternFill patternType="solid">
        <fgColor theme="4" tint="-0.499984740745262"/>
        <bgColor indexed="64"/>
      </patternFill>
    </fill>
    <fill>
      <patternFill patternType="solid">
        <fgColor rgb="FFFFFFFF"/>
        <bgColor indexed="64"/>
      </patternFill>
    </fill>
    <fill>
      <patternFill patternType="solid">
        <fgColor rgb="FFEEEEEE"/>
        <bgColor indexed="64"/>
      </patternFill>
    </fill>
    <fill>
      <patternFill patternType="solid">
        <fgColor rgb="FFE0E0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125">
    <border>
      <left/>
      <right/>
      <top/>
      <bottom/>
      <diagonal/>
    </border>
    <border>
      <left/>
      <right/>
      <top style="medium">
        <color auto="1"/>
      </top>
      <bottom/>
      <diagonal/>
    </border>
    <border>
      <left style="thin">
        <color auto="1"/>
      </left>
      <right style="thin">
        <color auto="1"/>
      </right>
      <top style="thin">
        <color auto="1"/>
      </top>
      <bottom style="thin">
        <color auto="1"/>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right/>
      <top/>
      <bottom style="medium">
        <color auto="1"/>
      </bottom>
      <diagonal/>
    </border>
    <border>
      <left/>
      <right/>
      <top/>
      <bottom style="thin">
        <color auto="1"/>
      </bottom>
      <diagonal/>
    </border>
    <border>
      <left/>
      <right/>
      <top style="thin">
        <color auto="1"/>
      </top>
      <bottom/>
      <diagonal/>
    </border>
    <border>
      <left/>
      <right/>
      <top style="hair">
        <color auto="1"/>
      </top>
      <bottom/>
      <diagonal/>
    </border>
    <border>
      <left/>
      <right style="thin">
        <color auto="1"/>
      </right>
      <top style="thin">
        <color auto="1"/>
      </top>
      <bottom/>
      <diagonal/>
    </border>
    <border>
      <left/>
      <right style="thin">
        <color auto="1"/>
      </right>
      <top/>
      <bottom style="thin">
        <color auto="1"/>
      </bottom>
      <diagonal/>
    </border>
    <border>
      <left/>
      <right/>
      <top/>
      <bottom style="thin">
        <color indexed="8"/>
      </bottom>
      <diagonal/>
    </border>
    <border>
      <left/>
      <right/>
      <top style="hair">
        <color indexed="23"/>
      </top>
      <bottom/>
      <diagonal/>
    </border>
    <border>
      <left/>
      <right style="thin">
        <color auto="1"/>
      </right>
      <top style="hair">
        <color indexed="23"/>
      </top>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style="hair">
        <color auto="1"/>
      </top>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hair">
        <color auto="1"/>
      </left>
      <right style="hair">
        <color auto="1"/>
      </right>
      <top/>
      <bottom style="hair">
        <color auto="1"/>
      </bottom>
      <diagonal/>
    </border>
    <border>
      <left style="hair">
        <color auto="1"/>
      </left>
      <right style="hair">
        <color auto="1"/>
      </right>
      <top style="hair">
        <color auto="1"/>
      </top>
      <bottom/>
      <diagonal/>
    </border>
    <border>
      <left/>
      <right style="medium">
        <color auto="1"/>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auto="1"/>
      </right>
      <top style="thin">
        <color auto="1"/>
      </top>
      <bottom/>
      <diagonal/>
    </border>
    <border>
      <left style="medium">
        <color auto="1"/>
      </left>
      <right/>
      <top style="thin">
        <color auto="1"/>
      </top>
      <bottom/>
      <diagonal/>
    </border>
    <border>
      <left/>
      <right/>
      <top/>
      <bottom style="medium">
        <color rgb="FFEBEBEB"/>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right style="medium">
        <color auto="1"/>
      </right>
      <top style="medium">
        <color auto="1"/>
      </top>
      <bottom/>
      <diagonal/>
    </border>
    <border>
      <left style="medium">
        <color auto="1"/>
      </left>
      <right/>
      <top style="medium">
        <color auto="1"/>
      </top>
      <bottom/>
      <diagonal/>
    </border>
    <border>
      <left/>
      <right/>
      <top/>
      <bottom style="thick">
        <color rgb="FF0BCE7E"/>
      </bottom>
      <diagonal/>
    </border>
    <border>
      <left/>
      <right style="medium">
        <color auto="1"/>
      </right>
      <top/>
      <bottom style="double">
        <color auto="1"/>
      </bottom>
      <diagonal/>
    </border>
    <border>
      <left/>
      <right style="thin">
        <color auto="1"/>
      </right>
      <top/>
      <bottom style="double">
        <color auto="1"/>
      </bottom>
      <diagonal/>
    </border>
    <border>
      <left style="medium">
        <color auto="1"/>
      </left>
      <right style="medium">
        <color auto="1"/>
      </right>
      <top/>
      <bottom style="double">
        <color auto="1"/>
      </bottom>
      <diagonal/>
    </border>
    <border>
      <left style="medium">
        <color auto="1"/>
      </left>
      <right style="medium">
        <color auto="1"/>
      </right>
      <top/>
      <bottom/>
      <diagonal/>
    </border>
    <border>
      <left/>
      <right style="double">
        <color auto="1"/>
      </right>
      <top/>
      <bottom style="double">
        <color auto="1"/>
      </bottom>
      <diagonal/>
    </border>
    <border>
      <left/>
      <right/>
      <top/>
      <bottom style="double">
        <color auto="1"/>
      </bottom>
      <diagonal/>
    </border>
    <border>
      <left style="double">
        <color auto="1"/>
      </left>
      <right/>
      <top/>
      <bottom style="double">
        <color auto="1"/>
      </bottom>
      <diagonal/>
    </border>
    <border>
      <left/>
      <right style="double">
        <color auto="1"/>
      </right>
      <top/>
      <bottom/>
      <diagonal/>
    </border>
    <border>
      <left/>
      <right style="thin">
        <color auto="1"/>
      </right>
      <top style="thin">
        <color auto="1"/>
      </top>
      <bottom style="double">
        <color auto="1"/>
      </bottom>
      <diagonal/>
    </border>
    <border>
      <left style="medium">
        <color auto="1"/>
      </left>
      <right style="medium">
        <color auto="1"/>
      </right>
      <top style="thin">
        <color auto="1"/>
      </top>
      <bottom style="double">
        <color auto="1"/>
      </bottom>
      <diagonal/>
    </border>
    <border>
      <left style="double">
        <color auto="1"/>
      </left>
      <right/>
      <top/>
      <bottom/>
      <diagonal/>
    </border>
    <border>
      <left/>
      <right style="medium">
        <color auto="1"/>
      </right>
      <top style="thin">
        <color auto="1"/>
      </top>
      <bottom style="double">
        <color auto="1"/>
      </bottom>
      <diagonal/>
    </border>
    <border>
      <left style="thin">
        <color auto="1"/>
      </left>
      <right style="medium">
        <color auto="1"/>
      </right>
      <top style="thin">
        <color auto="1"/>
      </top>
      <bottom style="double">
        <color auto="1"/>
      </bottom>
      <diagonal/>
    </border>
    <border>
      <left/>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bottom/>
      <diagonal/>
    </border>
    <border>
      <left style="medium">
        <color auto="1"/>
      </left>
      <right style="thin">
        <color auto="1"/>
      </right>
      <top/>
      <bottom/>
      <diagonal/>
    </border>
    <border>
      <left style="medium">
        <color auto="1"/>
      </left>
      <right style="medium">
        <color auto="1"/>
      </right>
      <top style="thin">
        <color auto="1"/>
      </top>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thin">
        <color auto="1"/>
      </left>
      <right style="thin">
        <color auto="1"/>
      </right>
      <top style="thin">
        <color auto="1"/>
      </top>
      <bottom style="double">
        <color auto="1"/>
      </bottom>
      <diagonal/>
    </border>
    <border>
      <left/>
      <right style="thin">
        <color auto="1"/>
      </right>
      <top style="medium">
        <color auto="1"/>
      </top>
      <bottom/>
      <diagonal/>
    </border>
    <border>
      <left style="thin">
        <color auto="1"/>
      </left>
      <right style="thin">
        <color auto="1"/>
      </right>
      <top style="medium">
        <color auto="1"/>
      </top>
      <bottom/>
      <diagonal/>
    </border>
    <border>
      <left style="medium">
        <color auto="1"/>
      </left>
      <right style="medium">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right/>
      <top style="thick">
        <color theme="0" tint="-4.9989318521683403E-2"/>
      </top>
      <bottom style="medium">
        <color auto="1"/>
      </bottom>
      <diagonal/>
    </border>
    <border>
      <left/>
      <right style="medium">
        <color auto="1"/>
      </right>
      <top style="thick">
        <color theme="0" tint="-4.9989318521683403E-2"/>
      </top>
      <bottom style="thick">
        <color theme="0" tint="-4.9989318521683403E-2"/>
      </bottom>
      <diagonal/>
    </border>
    <border>
      <left/>
      <right/>
      <top style="thick">
        <color theme="0" tint="-4.9989318521683403E-2"/>
      </top>
      <bottom style="thick">
        <color theme="0" tint="-4.9989318521683403E-2"/>
      </bottom>
      <diagonal/>
    </border>
    <border>
      <left/>
      <right style="medium">
        <color auto="1"/>
      </right>
      <top style="medium">
        <color auto="1"/>
      </top>
      <bottom style="thick">
        <color theme="0" tint="-4.9989318521683403E-2"/>
      </bottom>
      <diagonal/>
    </border>
    <border>
      <left/>
      <right/>
      <top style="medium">
        <color auto="1"/>
      </top>
      <bottom style="thick">
        <color theme="0" tint="-4.9989318521683403E-2"/>
      </bottom>
      <diagonal/>
    </border>
    <border>
      <left/>
      <right style="medium">
        <color auto="1"/>
      </right>
      <top style="thick">
        <color theme="0" tint="-4.9989318521683403E-2"/>
      </top>
      <bottom style="medium">
        <color auto="1"/>
      </bottom>
      <diagonal/>
    </border>
    <border>
      <left style="medium">
        <color auto="1"/>
      </left>
      <right/>
      <top style="thick">
        <color theme="0" tint="-4.9989318521683403E-2"/>
      </top>
      <bottom style="medium">
        <color auto="1"/>
      </bottom>
      <diagonal/>
    </border>
    <border>
      <left style="medium">
        <color auto="1"/>
      </left>
      <right/>
      <top style="thick">
        <color theme="0" tint="-4.9989318521683403E-2"/>
      </top>
      <bottom style="thick">
        <color theme="0" tint="-4.9989318521683403E-2"/>
      </bottom>
      <diagonal/>
    </border>
    <border>
      <left style="medium">
        <color auto="1"/>
      </left>
      <right/>
      <top style="medium">
        <color auto="1"/>
      </top>
      <bottom style="thick">
        <color theme="0" tint="-4.9989318521683403E-2"/>
      </bottom>
      <diagonal/>
    </border>
    <border>
      <left/>
      <right style="medium">
        <color auto="1"/>
      </right>
      <top style="medium">
        <color auto="1"/>
      </top>
      <bottom style="thin">
        <color auto="1"/>
      </bottom>
      <diagonal/>
    </border>
    <border>
      <left/>
      <right/>
      <top style="medium">
        <color auto="1"/>
      </top>
      <bottom style="thin">
        <color auto="1"/>
      </bottom>
      <diagonal/>
    </border>
    <border>
      <left style="medium">
        <color auto="1"/>
      </left>
      <right/>
      <top style="medium">
        <color auto="1"/>
      </top>
      <bottom style="thin">
        <color auto="1"/>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right style="medium">
        <color auto="1"/>
      </right>
      <top style="thin">
        <color auto="1"/>
      </top>
      <bottom style="medium">
        <color auto="1"/>
      </bottom>
      <diagonal/>
    </border>
    <border>
      <left style="medium">
        <color auto="1"/>
      </left>
      <right style="thin">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thin">
        <color auto="1"/>
      </top>
      <bottom style="medium">
        <color auto="1"/>
      </bottom>
      <diagonal/>
    </border>
    <border>
      <left style="medium">
        <color auto="1"/>
      </left>
      <right/>
      <top style="thin">
        <color auto="1"/>
      </top>
      <bottom style="medium">
        <color auto="1"/>
      </bottom>
      <diagonal/>
    </border>
    <border>
      <left style="medium">
        <color auto="1"/>
      </left>
      <right/>
      <top style="medium">
        <color auto="1"/>
      </top>
      <bottom style="double">
        <color auto="1"/>
      </bottom>
      <diagonal/>
    </border>
    <border>
      <left/>
      <right/>
      <top style="medium">
        <color auto="1"/>
      </top>
      <bottom style="medium">
        <color auto="1"/>
      </bottom>
      <diagonal/>
    </border>
    <border>
      <left/>
      <right style="medium">
        <color auto="1"/>
      </right>
      <top/>
      <bottom style="thin">
        <color auto="1"/>
      </bottom>
      <diagonal/>
    </border>
    <border>
      <left style="medium">
        <color auto="1"/>
      </left>
      <right/>
      <top/>
      <bottom style="thin">
        <color auto="1"/>
      </bottom>
      <diagonal/>
    </border>
    <border>
      <left/>
      <right style="medium">
        <color auto="1"/>
      </right>
      <top style="double">
        <color auto="1"/>
      </top>
      <bottom/>
      <diagonal/>
    </border>
    <border>
      <left/>
      <right/>
      <top style="double">
        <color auto="1"/>
      </top>
      <bottom/>
      <diagonal/>
    </border>
    <border>
      <left style="medium">
        <color auto="1"/>
      </left>
      <right/>
      <top style="double">
        <color auto="1"/>
      </top>
      <bottom/>
      <diagonal/>
    </border>
    <border>
      <left style="medium">
        <color auto="1"/>
      </left>
      <right style="medium">
        <color auto="1"/>
      </right>
      <top style="thin">
        <color auto="1"/>
      </top>
      <bottom style="thin">
        <color auto="1"/>
      </bottom>
      <diagonal/>
    </border>
    <border>
      <left style="medium">
        <color auto="1"/>
      </left>
      <right style="medium">
        <color auto="1"/>
      </right>
      <top style="double">
        <color auto="1"/>
      </top>
      <bottom/>
      <diagonal/>
    </border>
    <border>
      <left/>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bottom style="thin">
        <color auto="1"/>
      </bottom>
      <diagonal/>
    </border>
    <border>
      <left style="medium">
        <color auto="1"/>
      </left>
      <right/>
      <top style="thin">
        <color auto="1"/>
      </top>
      <bottom style="double">
        <color auto="1"/>
      </bottom>
      <diagonal/>
    </border>
    <border>
      <left/>
      <right style="medium">
        <color rgb="FFE6E6E6"/>
      </right>
      <top/>
      <bottom style="medium">
        <color rgb="FFE6E6E6"/>
      </bottom>
      <diagonal/>
    </border>
    <border>
      <left style="medium">
        <color rgb="FFD4D0C8"/>
      </left>
      <right style="medium">
        <color rgb="FFE6E6E6"/>
      </right>
      <top style="medium">
        <color rgb="FFD4D0C8"/>
      </top>
      <bottom style="thick">
        <color rgb="FFDDDDDD"/>
      </bottom>
      <diagonal/>
    </border>
    <border>
      <left/>
      <right style="medium">
        <color rgb="FFE6E6E6"/>
      </right>
      <top style="medium">
        <color rgb="FFD4D0C8"/>
      </top>
      <bottom style="thick">
        <color rgb="FFDDDDDD"/>
      </bottom>
      <diagonal/>
    </border>
    <border>
      <left/>
      <right style="medium">
        <color rgb="FFD4D0C8"/>
      </right>
      <top style="medium">
        <color rgb="FFD4D0C8"/>
      </top>
      <bottom style="thick">
        <color rgb="FFDDDDDD"/>
      </bottom>
      <diagonal/>
    </border>
    <border>
      <left style="medium">
        <color rgb="FFD4D0C8"/>
      </left>
      <right style="medium">
        <color rgb="FFE6E6E6"/>
      </right>
      <top/>
      <bottom style="medium">
        <color rgb="FFE6E6E6"/>
      </bottom>
      <diagonal/>
    </border>
    <border>
      <left/>
      <right style="medium">
        <color rgb="FFD4D0C8"/>
      </right>
      <top/>
      <bottom style="medium">
        <color rgb="FFE6E6E6"/>
      </bottom>
      <diagonal/>
    </border>
    <border>
      <left style="medium">
        <color rgb="FFD4D0C8"/>
      </left>
      <right style="medium">
        <color rgb="FFE6E6E6"/>
      </right>
      <top/>
      <bottom style="medium">
        <color rgb="FFD4D0C8"/>
      </bottom>
      <diagonal/>
    </border>
    <border>
      <left/>
      <right style="medium">
        <color rgb="FFE6E6E6"/>
      </right>
      <top/>
      <bottom style="medium">
        <color rgb="FFD4D0C8"/>
      </bottom>
      <diagonal/>
    </border>
    <border>
      <left/>
      <right style="medium">
        <color rgb="FFD4D0C8"/>
      </right>
      <top/>
      <bottom style="medium">
        <color rgb="FFD4D0C8"/>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medium">
        <color rgb="FFD4D0C8"/>
      </top>
      <bottom style="thick">
        <color rgb="FFDDDDDD"/>
      </bottom>
      <diagonal/>
    </border>
    <border>
      <left/>
      <right/>
      <top/>
      <bottom style="medium">
        <color rgb="FFE6E6E6"/>
      </bottom>
      <diagonal/>
    </border>
    <border>
      <left/>
      <right/>
      <top/>
      <bottom style="medium">
        <color rgb="FFD4D0C8"/>
      </bottom>
      <diagonal/>
    </border>
    <border>
      <left style="medium">
        <color auto="1"/>
      </left>
      <right style="medium">
        <color auto="1"/>
      </right>
      <top/>
      <bottom style="medium">
        <color rgb="FFE6E6E6"/>
      </bottom>
      <diagonal/>
    </border>
    <border>
      <left style="medium">
        <color rgb="FFD4D0C8"/>
      </left>
      <right style="medium">
        <color rgb="FFE6E6E6"/>
      </right>
      <top/>
      <bottom/>
      <diagonal/>
    </border>
  </borders>
  <cellStyleXfs count="85">
    <xf numFmtId="0" fontId="0" fillId="0" borderId="0"/>
    <xf numFmtId="0" fontId="82" fillId="0" borderId="0"/>
    <xf numFmtId="0" fontId="83" fillId="0" borderId="0"/>
    <xf numFmtId="0" fontId="93" fillId="0" borderId="0"/>
    <xf numFmtId="3" fontId="14" fillId="0" borderId="0" applyFont="0" applyFill="0" applyBorder="0" applyAlignment="0" applyProtection="0"/>
    <xf numFmtId="5" fontId="14" fillId="0" borderId="0" applyFont="0" applyFill="0" applyBorder="0" applyAlignment="0" applyProtection="0"/>
    <xf numFmtId="14" fontId="14" fillId="0" borderId="0" applyFont="0" applyFill="0" applyBorder="0" applyAlignment="0" applyProtection="0"/>
    <xf numFmtId="2" fontId="14" fillId="0" borderId="0" applyFont="0" applyFill="0" applyBorder="0" applyAlignment="0" applyProtection="0"/>
    <xf numFmtId="0" fontId="14" fillId="0" borderId="0" applyFill="0"/>
    <xf numFmtId="0" fontId="14" fillId="0" borderId="0" applyFill="0"/>
    <xf numFmtId="0" fontId="14" fillId="0" borderId="0" applyFill="0"/>
    <xf numFmtId="0" fontId="93" fillId="0" borderId="0"/>
    <xf numFmtId="0" fontId="93" fillId="0" borderId="0"/>
    <xf numFmtId="0" fontId="14" fillId="0" borderId="0"/>
    <xf numFmtId="0" fontId="95" fillId="0" borderId="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pplyFill="0"/>
    <xf numFmtId="0" fontId="14" fillId="0" borderId="0">
      <alignment vertical="top"/>
    </xf>
    <xf numFmtId="4" fontId="14" fillId="0" borderId="0" applyFont="0" applyFill="0" applyBorder="0" applyAlignment="0" applyProtection="0"/>
    <xf numFmtId="9" fontId="14" fillId="0" borderId="0" applyFont="0" applyFill="0" applyBorder="0" applyAlignment="0" applyProtection="0"/>
    <xf numFmtId="44" fontId="125" fillId="0" borderId="0" applyFont="0" applyFill="0" applyBorder="0" applyAlignment="0" applyProtection="0"/>
    <xf numFmtId="0" fontId="133" fillId="0" borderId="0" applyNumberFormat="0" applyFill="0" applyBorder="0" applyAlignment="0" applyProtection="0">
      <alignment vertical="top"/>
      <protection locked="0"/>
    </xf>
    <xf numFmtId="0" fontId="2" fillId="0" borderId="0" applyNumberFormat="0" applyFill="0" applyBorder="0" applyAlignment="0" applyProtection="0"/>
    <xf numFmtId="43" fontId="2" fillId="0" borderId="0" applyFont="0" applyFill="0" applyBorder="0" applyAlignment="0" applyProtection="0"/>
    <xf numFmtId="0" fontId="135" fillId="0" borderId="0"/>
    <xf numFmtId="0" fontId="135" fillId="0" borderId="0"/>
    <xf numFmtId="0" fontId="134" fillId="0" borderId="0" applyNumberFormat="0" applyFill="0" applyBorder="0" applyAlignment="0" applyProtection="0"/>
    <xf numFmtId="0" fontId="135" fillId="0" borderId="0"/>
    <xf numFmtId="0" fontId="2" fillId="0" borderId="0"/>
    <xf numFmtId="0" fontId="2" fillId="0" borderId="0" applyNumberFormat="0" applyFill="0" applyBorder="0" applyAlignment="0" applyProtection="0"/>
    <xf numFmtId="0" fontId="2" fillId="0" borderId="0" applyNumberFormat="0" applyFill="0" applyBorder="0" applyAlignment="0" applyProtection="0"/>
    <xf numFmtId="43" fontId="2" fillId="0" borderId="0" applyFont="0" applyFill="0" applyBorder="0" applyAlignment="0" applyProtection="0"/>
    <xf numFmtId="0" fontId="136" fillId="35" borderId="0" applyNumberFormat="0" applyBorder="0" applyAlignment="0" applyProtection="0"/>
    <xf numFmtId="0" fontId="136" fillId="34" borderId="0" applyNumberFormat="0" applyBorder="0" applyAlignment="0" applyProtection="0"/>
    <xf numFmtId="0" fontId="136" fillId="33" borderId="0" applyNumberFormat="0" applyBorder="0" applyAlignment="0" applyProtection="0"/>
    <xf numFmtId="0" fontId="136" fillId="32" borderId="0" applyNumberFormat="0" applyBorder="0" applyAlignment="0" applyProtection="0"/>
    <xf numFmtId="0" fontId="136" fillId="31" borderId="0" applyNumberFormat="0" applyBorder="0" applyAlignment="0" applyProtection="0"/>
    <xf numFmtId="0" fontId="136" fillId="30" borderId="0" applyNumberFormat="0" applyBorder="0" applyAlignment="0" applyProtection="0"/>
    <xf numFmtId="0" fontId="2" fillId="0" borderId="0" applyNumberFormat="0" applyFill="0" applyBorder="0" applyAlignment="0" applyProtection="0"/>
    <xf numFmtId="0" fontId="136" fillId="36" borderId="0" applyNumberFormat="0" applyBorder="0" applyAlignment="0" applyProtection="0"/>
    <xf numFmtId="0" fontId="136" fillId="37" borderId="0" applyNumberFormat="0" applyBorder="0" applyAlignment="0" applyProtection="0"/>
    <xf numFmtId="0" fontId="136" fillId="38" borderId="0" applyNumberFormat="0" applyBorder="0" applyAlignment="0" applyProtection="0"/>
    <xf numFmtId="0" fontId="136" fillId="33" borderId="0" applyNumberFormat="0" applyBorder="0" applyAlignment="0" applyProtection="0"/>
    <xf numFmtId="0" fontId="136" fillId="36" borderId="0" applyNumberFormat="0" applyBorder="0" applyAlignment="0" applyProtection="0"/>
    <xf numFmtId="0" fontId="136" fillId="39" borderId="0" applyNumberFormat="0" applyBorder="0" applyAlignment="0" applyProtection="0"/>
    <xf numFmtId="0" fontId="137" fillId="40" borderId="0" applyNumberFormat="0" applyBorder="0" applyAlignment="0" applyProtection="0"/>
    <xf numFmtId="0" fontId="137" fillId="37" borderId="0" applyNumberFormat="0" applyBorder="0" applyAlignment="0" applyProtection="0"/>
    <xf numFmtId="0" fontId="137" fillId="38"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3" borderId="0" applyNumberFormat="0" applyBorder="0" applyAlignment="0" applyProtection="0"/>
    <xf numFmtId="0" fontId="137" fillId="44" borderId="0" applyNumberFormat="0" applyBorder="0" applyAlignment="0" applyProtection="0"/>
    <xf numFmtId="0" fontId="137" fillId="45" borderId="0" applyNumberFormat="0" applyBorder="0" applyAlignment="0" applyProtection="0"/>
    <xf numFmtId="0" fontId="137" fillId="46" borderId="0" applyNumberFormat="0" applyBorder="0" applyAlignment="0" applyProtection="0"/>
    <xf numFmtId="0" fontId="137" fillId="41" borderId="0" applyNumberFormat="0" applyBorder="0" applyAlignment="0" applyProtection="0"/>
    <xf numFmtId="0" fontId="137" fillId="42" borderId="0" applyNumberFormat="0" applyBorder="0" applyAlignment="0" applyProtection="0"/>
    <xf numFmtId="0" fontId="137" fillId="47" borderId="0" applyNumberFormat="0" applyBorder="0" applyAlignment="0" applyProtection="0"/>
    <xf numFmtId="0" fontId="138" fillId="31" borderId="0" applyNumberFormat="0" applyBorder="0" applyAlignment="0" applyProtection="0"/>
    <xf numFmtId="0" fontId="139" fillId="48" borderId="111" applyNumberFormat="0" applyAlignment="0" applyProtection="0"/>
    <xf numFmtId="0" fontId="140" fillId="49" borderId="112" applyNumberFormat="0" applyAlignment="0" applyProtection="0"/>
    <xf numFmtId="43" fontId="2" fillId="0" borderId="0" applyFont="0" applyFill="0" applyBorder="0" applyAlignment="0" applyProtection="0"/>
    <xf numFmtId="0" fontId="141" fillId="0" borderId="0" applyNumberFormat="0" applyFill="0" applyBorder="0" applyAlignment="0" applyProtection="0"/>
    <xf numFmtId="0" fontId="142" fillId="32" borderId="0" applyNumberFormat="0" applyBorder="0" applyAlignment="0" applyProtection="0"/>
    <xf numFmtId="0" fontId="143" fillId="0" borderId="113" applyNumberFormat="0" applyFill="0" applyAlignment="0" applyProtection="0"/>
    <xf numFmtId="0" fontId="144" fillId="0" borderId="114" applyNumberFormat="0" applyFill="0" applyAlignment="0" applyProtection="0"/>
    <xf numFmtId="0" fontId="145" fillId="0" borderId="115" applyNumberFormat="0" applyFill="0" applyAlignment="0" applyProtection="0"/>
    <xf numFmtId="0" fontId="145" fillId="0" borderId="0" applyNumberFormat="0" applyFill="0" applyBorder="0" applyAlignment="0" applyProtection="0"/>
    <xf numFmtId="0" fontId="146" fillId="35" borderId="111" applyNumberFormat="0" applyAlignment="0" applyProtection="0"/>
    <xf numFmtId="0" fontId="147" fillId="0" borderId="116" applyNumberFormat="0" applyFill="0" applyAlignment="0" applyProtection="0"/>
    <xf numFmtId="0" fontId="148" fillId="50" borderId="0" applyNumberFormat="0" applyBorder="0" applyAlignment="0" applyProtection="0"/>
    <xf numFmtId="0" fontId="2" fillId="0" borderId="0" applyNumberFormat="0" applyFill="0" applyBorder="0" applyAlignment="0" applyProtection="0"/>
    <xf numFmtId="0" fontId="135" fillId="51" borderId="117" applyNumberFormat="0" applyFont="0" applyAlignment="0" applyProtection="0"/>
    <xf numFmtId="0" fontId="149" fillId="48" borderId="118" applyNumberFormat="0" applyAlignment="0" applyProtection="0"/>
    <xf numFmtId="0" fontId="150" fillId="0" borderId="0" applyNumberFormat="0" applyFill="0" applyBorder="0" applyAlignment="0" applyProtection="0"/>
    <xf numFmtId="0" fontId="151" fillId="0" borderId="119" applyNumberFormat="0" applyFill="0" applyAlignment="0" applyProtection="0"/>
    <xf numFmtId="0" fontId="152" fillId="0" borderId="0" applyNumberFormat="0" applyFill="0" applyBorder="0" applyAlignment="0" applyProtection="0"/>
    <xf numFmtId="43" fontId="2" fillId="0" borderId="0" applyFont="0" applyFill="0" applyBorder="0" applyAlignment="0" applyProtection="0"/>
    <xf numFmtId="0" fontId="1" fillId="0" borderId="0"/>
    <xf numFmtId="0" fontId="159" fillId="0" borderId="0" applyNumberFormat="0" applyFill="0" applyBorder="0" applyAlignment="0" applyProtection="0"/>
  </cellStyleXfs>
  <cellXfs count="1324">
    <xf numFmtId="0" fontId="0" fillId="0" borderId="0" xfId="0"/>
    <xf numFmtId="0" fontId="3" fillId="0" borderId="0" xfId="0" applyFont="1"/>
    <xf numFmtId="0" fontId="5" fillId="0" borderId="1" xfId="0" applyFont="1" applyBorder="1"/>
    <xf numFmtId="0" fontId="0" fillId="0" borderId="1" xfId="0" applyBorder="1"/>
    <xf numFmtId="0" fontId="7" fillId="0" borderId="0" xfId="0" applyFont="1"/>
    <xf numFmtId="164" fontId="0" fillId="0" borderId="0" xfId="0" applyNumberFormat="1"/>
    <xf numFmtId="166" fontId="0" fillId="0" borderId="0" xfId="0" applyNumberFormat="1"/>
    <xf numFmtId="0" fontId="9" fillId="0" borderId="0" xfId="0" applyFont="1"/>
    <xf numFmtId="167" fontId="0" fillId="0" borderId="0" xfId="0" applyNumberFormat="1"/>
    <xf numFmtId="0" fontId="11" fillId="0" borderId="0" xfId="0" applyFont="1"/>
    <xf numFmtId="22" fontId="4" fillId="0" borderId="0" xfId="0" applyNumberFormat="1" applyFont="1" applyBorder="1" applyAlignment="1">
      <alignment horizontal="center"/>
    </xf>
    <xf numFmtId="0" fontId="6" fillId="0" borderId="0" xfId="0" applyFont="1" applyBorder="1"/>
    <xf numFmtId="0" fontId="7" fillId="0" borderId="0" xfId="0" applyFont="1" applyBorder="1"/>
    <xf numFmtId="0" fontId="0" fillId="0" borderId="0" xfId="0" applyBorder="1"/>
    <xf numFmtId="0" fontId="5" fillId="0" borderId="0" xfId="0" applyFont="1"/>
    <xf numFmtId="0" fontId="8" fillId="0" borderId="0" xfId="0" applyFont="1"/>
    <xf numFmtId="0" fontId="12" fillId="0" borderId="0" xfId="0" applyFont="1"/>
    <xf numFmtId="164" fontId="0" fillId="0" borderId="0" xfId="0" applyNumberFormat="1" applyBorder="1"/>
    <xf numFmtId="0" fontId="14" fillId="0" borderId="0" xfId="0" applyFont="1"/>
    <xf numFmtId="0" fontId="13" fillId="0" borderId="0" xfId="0" applyFont="1"/>
    <xf numFmtId="0" fontId="0" fillId="0" borderId="2" xfId="0" applyBorder="1" applyAlignment="1">
      <alignment horizontal="centerContinuous"/>
    </xf>
    <xf numFmtId="0" fontId="0" fillId="0" borderId="0" xfId="0" applyBorder="1" applyAlignment="1">
      <alignment horizontal="centerContinuous"/>
    </xf>
    <xf numFmtId="166" fontId="8" fillId="0" borderId="0" xfId="0" applyNumberFormat="1" applyFont="1" applyBorder="1"/>
    <xf numFmtId="166" fontId="0" fillId="0" borderId="0" xfId="0" applyNumberFormat="1" applyBorder="1"/>
    <xf numFmtId="0" fontId="0" fillId="0" borderId="3" xfId="0" applyBorder="1"/>
    <xf numFmtId="164" fontId="9" fillId="0" borderId="0" xfId="0" applyNumberFormat="1" applyFont="1"/>
    <xf numFmtId="7" fontId="0" fillId="0" borderId="0" xfId="0" applyNumberFormat="1"/>
    <xf numFmtId="166" fontId="14" fillId="0" borderId="0" xfId="0" applyNumberFormat="1" applyFont="1"/>
    <xf numFmtId="164" fontId="17" fillId="0" borderId="0" xfId="0" applyNumberFormat="1" applyFont="1"/>
    <xf numFmtId="166" fontId="17" fillId="0" borderId="0" xfId="0" applyNumberFormat="1" applyFont="1"/>
    <xf numFmtId="164" fontId="17" fillId="0" borderId="0" xfId="0" applyNumberFormat="1" applyFont="1" applyBorder="1"/>
    <xf numFmtId="0" fontId="14" fillId="0" borderId="0" xfId="0" applyFont="1" applyBorder="1"/>
    <xf numFmtId="164" fontId="14" fillId="0" borderId="0" xfId="0" applyNumberFormat="1" applyFont="1" applyFill="1" applyBorder="1"/>
    <xf numFmtId="0" fontId="0" fillId="0" borderId="0" xfId="0" applyFill="1"/>
    <xf numFmtId="0" fontId="0" fillId="0" borderId="0" xfId="0" applyFill="1" applyBorder="1"/>
    <xf numFmtId="0" fontId="9" fillId="0" borderId="0" xfId="0" applyFont="1" applyFill="1"/>
    <xf numFmtId="164" fontId="17" fillId="0" borderId="0" xfId="0" applyNumberFormat="1" applyFont="1" applyFill="1"/>
    <xf numFmtId="166" fontId="0" fillId="2" borderId="0" xfId="0" applyNumberFormat="1" applyFill="1"/>
    <xf numFmtId="166" fontId="9" fillId="2" borderId="0" xfId="0" applyNumberFormat="1" applyFont="1" applyFill="1" applyAlignment="1">
      <alignment horizontal="centerContinuous"/>
    </xf>
    <xf numFmtId="0" fontId="0" fillId="2" borderId="0" xfId="0" applyFill="1"/>
    <xf numFmtId="0" fontId="25" fillId="0" borderId="0" xfId="0" applyFont="1"/>
    <xf numFmtId="0" fontId="25" fillId="0" borderId="4" xfId="0" applyFont="1" applyBorder="1"/>
    <xf numFmtId="0" fontId="25" fillId="0" borderId="5" xfId="0" applyFont="1" applyBorder="1"/>
    <xf numFmtId="0" fontId="26" fillId="0" borderId="0" xfId="0" applyFont="1"/>
    <xf numFmtId="0" fontId="27" fillId="0" borderId="0" xfId="0" applyFont="1"/>
    <xf numFmtId="0" fontId="28" fillId="0" borderId="0" xfId="0" applyFont="1"/>
    <xf numFmtId="0" fontId="27" fillId="0" borderId="6" xfId="0" applyFont="1" applyBorder="1"/>
    <xf numFmtId="164" fontId="8" fillId="2" borderId="0" xfId="0" applyNumberFormat="1" applyFont="1" applyFill="1"/>
    <xf numFmtId="164" fontId="0" fillId="2" borderId="0" xfId="0" applyNumberFormat="1" applyFill="1"/>
    <xf numFmtId="166" fontId="8" fillId="2" borderId="0" xfId="0" applyNumberFormat="1" applyFont="1" applyFill="1"/>
    <xf numFmtId="0" fontId="23" fillId="0" borderId="0" xfId="0" applyFont="1"/>
    <xf numFmtId="0" fontId="29" fillId="0" borderId="0" xfId="0" applyFont="1"/>
    <xf numFmtId="0" fontId="30" fillId="0" borderId="0" xfId="0" applyFont="1"/>
    <xf numFmtId="0" fontId="3" fillId="0" borderId="0" xfId="0" applyFont="1" applyFill="1"/>
    <xf numFmtId="22" fontId="4" fillId="0" borderId="7" xfId="0" applyNumberFormat="1" applyFont="1" applyFill="1" applyBorder="1" applyAlignment="1">
      <alignment horizontal="center"/>
    </xf>
    <xf numFmtId="0" fontId="5" fillId="0" borderId="1" xfId="0" applyFont="1" applyFill="1" applyBorder="1"/>
    <xf numFmtId="0" fontId="0" fillId="0" borderId="1" xfId="0" applyFill="1" applyBorder="1"/>
    <xf numFmtId="0" fontId="0" fillId="0" borderId="0" xfId="0" quotePrefix="1" applyFill="1" applyAlignment="1">
      <alignment horizontal="center"/>
    </xf>
    <xf numFmtId="0" fontId="0" fillId="0" borderId="2" xfId="0" applyFill="1" applyBorder="1" applyAlignment="1">
      <alignment horizontal="centerContinuous"/>
    </xf>
    <xf numFmtId="0" fontId="0" fillId="0" borderId="8" xfId="0" applyFill="1" applyBorder="1" applyAlignment="1">
      <alignment horizontal="center"/>
    </xf>
    <xf numFmtId="0" fontId="7" fillId="0" borderId="0" xfId="0" applyFont="1" applyFill="1"/>
    <xf numFmtId="0" fontId="13" fillId="0" borderId="0" xfId="0" applyFont="1" applyFill="1"/>
    <xf numFmtId="165" fontId="0" fillId="0" borderId="0" xfId="0" applyNumberFormat="1" applyFill="1"/>
    <xf numFmtId="166" fontId="8" fillId="0" borderId="0" xfId="0" applyNumberFormat="1" applyFont="1" applyFill="1"/>
    <xf numFmtId="166" fontId="0" fillId="0" borderId="0" xfId="0" applyNumberFormat="1" applyFill="1"/>
    <xf numFmtId="165" fontId="13" fillId="0" borderId="0" xfId="0" applyNumberFormat="1" applyFont="1" applyFill="1"/>
    <xf numFmtId="0" fontId="23" fillId="0" borderId="0" xfId="0" applyFont="1" applyFill="1"/>
    <xf numFmtId="0" fontId="24" fillId="0" borderId="0" xfId="0" applyFont="1" applyFill="1" applyAlignment="1">
      <alignment horizontal="left"/>
    </xf>
    <xf numFmtId="166" fontId="17" fillId="0" borderId="0" xfId="0" applyNumberFormat="1" applyFont="1" applyFill="1"/>
    <xf numFmtId="166" fontId="0" fillId="0" borderId="0" xfId="0" applyNumberFormat="1" applyFill="1" applyBorder="1"/>
    <xf numFmtId="164" fontId="9" fillId="0" borderId="9" xfId="0" applyNumberFormat="1" applyFont="1" applyFill="1" applyBorder="1"/>
    <xf numFmtId="7" fontId="9" fillId="0" borderId="0" xfId="0" applyNumberFormat="1" applyFont="1" applyFill="1"/>
    <xf numFmtId="165" fontId="7" fillId="0" borderId="0" xfId="0" applyNumberFormat="1" applyFont="1" applyFill="1"/>
    <xf numFmtId="165" fontId="8" fillId="0" borderId="0" xfId="0" applyNumberFormat="1" applyFont="1" applyFill="1"/>
    <xf numFmtId="169" fontId="0" fillId="0" borderId="0" xfId="0" applyNumberFormat="1" applyFill="1"/>
    <xf numFmtId="0" fontId="0" fillId="0" borderId="0" xfId="0" applyFill="1" applyAlignment="1">
      <alignment horizontal="center"/>
    </xf>
    <xf numFmtId="165" fontId="9" fillId="0" borderId="0" xfId="0" applyNumberFormat="1" applyFont="1" applyFill="1"/>
    <xf numFmtId="0" fontId="29" fillId="0" borderId="0" xfId="0" applyFont="1" applyFill="1"/>
    <xf numFmtId="14" fontId="27" fillId="0" borderId="2" xfId="0" applyNumberFormat="1" applyFont="1" applyBorder="1" applyAlignment="1">
      <alignment horizontal="centerContinuous"/>
    </xf>
    <xf numFmtId="0" fontId="13" fillId="0" borderId="0" xfId="0" applyFont="1" applyBorder="1"/>
    <xf numFmtId="166" fontId="8" fillId="0" borderId="0" xfId="0" applyNumberFormat="1" applyFont="1" applyFill="1" applyBorder="1"/>
    <xf numFmtId="164" fontId="0" fillId="0" borderId="0" xfId="0" applyNumberFormat="1" applyFill="1" applyBorder="1"/>
    <xf numFmtId="0" fontId="14" fillId="0" borderId="0" xfId="0" applyFont="1" applyFill="1"/>
    <xf numFmtId="0" fontId="33" fillId="0" borderId="0" xfId="0" applyFont="1"/>
    <xf numFmtId="0" fontId="21" fillId="0" borderId="0" xfId="0" applyFont="1"/>
    <xf numFmtId="165" fontId="8" fillId="0" borderId="0" xfId="0" applyNumberFormat="1" applyFont="1" applyFill="1" applyBorder="1"/>
    <xf numFmtId="0" fontId="34" fillId="0" borderId="0" xfId="0" applyFont="1"/>
    <xf numFmtId="165" fontId="0" fillId="0" borderId="0" xfId="0" applyNumberFormat="1" applyFill="1" applyBorder="1"/>
    <xf numFmtId="0" fontId="37" fillId="0" borderId="0" xfId="0" applyFont="1" applyFill="1"/>
    <xf numFmtId="0" fontId="37" fillId="0" borderId="0" xfId="0" applyFont="1"/>
    <xf numFmtId="0" fontId="22" fillId="0" borderId="0" xfId="0" applyFont="1"/>
    <xf numFmtId="0" fontId="22" fillId="0" borderId="0" xfId="0" applyFont="1" applyAlignment="1">
      <alignment horizontal="right"/>
    </xf>
    <xf numFmtId="0" fontId="0" fillId="2" borderId="0" xfId="0" applyFill="1" applyAlignment="1">
      <alignment horizontal="right"/>
    </xf>
    <xf numFmtId="0" fontId="2" fillId="0" borderId="0" xfId="0" applyFont="1"/>
    <xf numFmtId="0" fontId="2" fillId="2" borderId="0" xfId="0" applyFont="1" applyFill="1"/>
    <xf numFmtId="0" fontId="13" fillId="0" borderId="0" xfId="0" applyFont="1" applyFill="1" applyBorder="1"/>
    <xf numFmtId="0" fontId="13" fillId="0" borderId="9" xfId="0" applyFont="1" applyFill="1" applyBorder="1"/>
    <xf numFmtId="0" fontId="33" fillId="0" borderId="0" xfId="0" applyFont="1" applyFill="1"/>
    <xf numFmtId="18" fontId="0" fillId="0" borderId="0" xfId="0" applyNumberFormat="1"/>
    <xf numFmtId="0" fontId="31" fillId="0" borderId="0" xfId="0" applyFont="1"/>
    <xf numFmtId="166" fontId="16" fillId="0" borderId="0" xfId="0" applyNumberFormat="1" applyFont="1" applyBorder="1"/>
    <xf numFmtId="0" fontId="40" fillId="0" borderId="0" xfId="0" applyFont="1"/>
    <xf numFmtId="0" fontId="41" fillId="0" borderId="0" xfId="0" applyFont="1"/>
    <xf numFmtId="166" fontId="2" fillId="0" borderId="0" xfId="0" applyNumberFormat="1" applyFont="1" applyFill="1"/>
    <xf numFmtId="166" fontId="2" fillId="0" borderId="0" xfId="0" applyNumberFormat="1" applyFont="1"/>
    <xf numFmtId="7" fontId="0" fillId="0" borderId="0" xfId="0" applyNumberFormat="1" applyFill="1"/>
    <xf numFmtId="0" fontId="18" fillId="0" borderId="0" xfId="0" applyFont="1"/>
    <xf numFmtId="0" fontId="9" fillId="0" borderId="0" xfId="0" applyFont="1" applyAlignment="1">
      <alignment horizontal="centerContinuous"/>
    </xf>
    <xf numFmtId="166" fontId="8" fillId="0" borderId="0" xfId="0" applyNumberFormat="1" applyFont="1"/>
    <xf numFmtId="164" fontId="8" fillId="0" borderId="0" xfId="0" applyNumberFormat="1" applyFont="1"/>
    <xf numFmtId="0" fontId="0" fillId="2" borderId="0" xfId="0" applyFill="1" applyBorder="1"/>
    <xf numFmtId="39" fontId="0" fillId="0" borderId="1" xfId="0" applyNumberFormat="1" applyFill="1" applyBorder="1"/>
    <xf numFmtId="176" fontId="39" fillId="0" borderId="9" xfId="0" quotePrefix="1" applyNumberFormat="1" applyFont="1" applyFill="1" applyBorder="1"/>
    <xf numFmtId="176" fontId="39" fillId="0" borderId="0" xfId="0" quotePrefix="1" applyNumberFormat="1" applyFont="1" applyFill="1" applyBorder="1"/>
    <xf numFmtId="172" fontId="7" fillId="0" borderId="0" xfId="0" applyNumberFormat="1" applyFont="1"/>
    <xf numFmtId="172" fontId="7" fillId="0" borderId="0" xfId="0" applyNumberFormat="1" applyFont="1" applyFill="1"/>
    <xf numFmtId="0" fontId="0" fillId="0" borderId="10" xfId="0" applyBorder="1"/>
    <xf numFmtId="0" fontId="13" fillId="0" borderId="10" xfId="0" applyFont="1" applyBorder="1"/>
    <xf numFmtId="166" fontId="8" fillId="0" borderId="10" xfId="0" applyNumberFormat="1" applyFont="1" applyBorder="1"/>
    <xf numFmtId="166" fontId="0" fillId="0" borderId="10" xfId="0" applyNumberFormat="1" applyBorder="1"/>
    <xf numFmtId="0" fontId="46" fillId="0" borderId="0" xfId="0" applyFont="1" applyFill="1" applyAlignment="1">
      <alignment horizontal="left"/>
    </xf>
    <xf numFmtId="0" fontId="7" fillId="0" borderId="0" xfId="0" applyFont="1" applyFill="1" applyAlignment="1">
      <alignment horizontal="center"/>
    </xf>
    <xf numFmtId="170" fontId="13" fillId="0" borderId="0" xfId="0" applyNumberFormat="1" applyFont="1" applyFill="1" applyBorder="1"/>
    <xf numFmtId="170" fontId="8" fillId="0" borderId="0" xfId="0" applyNumberFormat="1" applyFont="1" applyFill="1" applyBorder="1"/>
    <xf numFmtId="8" fontId="0" fillId="0" borderId="0" xfId="0" applyNumberFormat="1" applyFill="1"/>
    <xf numFmtId="170" fontId="0" fillId="0" borderId="0" xfId="0" applyNumberFormat="1" applyFill="1" applyBorder="1"/>
    <xf numFmtId="0" fontId="9" fillId="0" borderId="0" xfId="0" applyFont="1" applyFill="1" applyAlignment="1">
      <alignment horizontal="right"/>
    </xf>
    <xf numFmtId="170" fontId="0" fillId="0" borderId="0" xfId="0" applyNumberFormat="1" applyFill="1"/>
    <xf numFmtId="0" fontId="0" fillId="0" borderId="0" xfId="0" applyFill="1" applyAlignment="1">
      <alignment horizontal="right"/>
    </xf>
    <xf numFmtId="0" fontId="9" fillId="0" borderId="0" xfId="0" applyFont="1" applyFill="1" applyAlignment="1">
      <alignment horizontal="centerContinuous"/>
    </xf>
    <xf numFmtId="0" fontId="0" fillId="0" borderId="0" xfId="0" applyFill="1" applyAlignment="1">
      <alignment horizontal="centerContinuous"/>
    </xf>
    <xf numFmtId="170" fontId="8" fillId="0" borderId="8" xfId="0" applyNumberFormat="1" applyFont="1" applyFill="1" applyBorder="1"/>
    <xf numFmtId="170" fontId="0" fillId="0" borderId="8" xfId="0" applyNumberFormat="1" applyFill="1" applyBorder="1"/>
    <xf numFmtId="170" fontId="8" fillId="0" borderId="3" xfId="0" applyNumberFormat="1" applyFont="1" applyFill="1" applyBorder="1"/>
    <xf numFmtId="170" fontId="0" fillId="0" borderId="3" xfId="0" applyNumberFormat="1" applyFill="1" applyBorder="1"/>
    <xf numFmtId="164" fontId="17" fillId="0" borderId="3" xfId="0" applyNumberFormat="1" applyFont="1" applyBorder="1"/>
    <xf numFmtId="164" fontId="0" fillId="0" borderId="9" xfId="0" applyNumberFormat="1" applyBorder="1"/>
    <xf numFmtId="164" fontId="9" fillId="0" borderId="0" xfId="0" applyNumberFormat="1" applyFont="1" applyFill="1"/>
    <xf numFmtId="165" fontId="0" fillId="0" borderId="0" xfId="0" applyNumberFormat="1"/>
    <xf numFmtId="165" fontId="8" fillId="0" borderId="0" xfId="0" applyNumberFormat="1" applyFont="1"/>
    <xf numFmtId="0" fontId="9" fillId="0" borderId="0" xfId="0" applyNumberFormat="1" applyFont="1" applyAlignment="1">
      <alignment horizontal="centerContinuous"/>
    </xf>
    <xf numFmtId="166" fontId="48" fillId="0" borderId="0" xfId="0" applyNumberFormat="1" applyFont="1" applyAlignment="1">
      <alignment horizontal="center"/>
    </xf>
    <xf numFmtId="166" fontId="8" fillId="0" borderId="3" xfId="0" applyNumberFormat="1" applyFont="1" applyBorder="1"/>
    <xf numFmtId="165" fontId="5" fillId="0" borderId="0" xfId="0" applyNumberFormat="1" applyFont="1"/>
    <xf numFmtId="165" fontId="5" fillId="0" borderId="3" xfId="0" applyNumberFormat="1" applyFont="1" applyBorder="1"/>
    <xf numFmtId="165" fontId="49" fillId="0" borderId="0" xfId="0" applyNumberFormat="1" applyFont="1"/>
    <xf numFmtId="175" fontId="0" fillId="0" borderId="0" xfId="0" applyNumberFormat="1"/>
    <xf numFmtId="164" fontId="14" fillId="0" borderId="0" xfId="0" applyNumberFormat="1" applyFont="1"/>
    <xf numFmtId="166" fontId="0" fillId="2" borderId="3" xfId="0" applyNumberFormat="1" applyFill="1" applyBorder="1"/>
    <xf numFmtId="166" fontId="9" fillId="2" borderId="3" xfId="0" applyNumberFormat="1" applyFont="1" applyFill="1" applyBorder="1" applyAlignment="1">
      <alignment horizontal="centerContinuous"/>
    </xf>
    <xf numFmtId="164" fontId="17" fillId="0" borderId="9" xfId="0" applyNumberFormat="1" applyFont="1" applyBorder="1"/>
    <xf numFmtId="164" fontId="17" fillId="0" borderId="11" xfId="0" applyNumberFormat="1" applyFont="1" applyBorder="1"/>
    <xf numFmtId="172" fontId="7" fillId="0" borderId="11" xfId="0" applyNumberFormat="1" applyFont="1" applyBorder="1"/>
    <xf numFmtId="164" fontId="0" fillId="0" borderId="0" xfId="0" applyNumberFormat="1" applyFill="1"/>
    <xf numFmtId="166" fontId="8" fillId="0" borderId="3" xfId="0" applyNumberFormat="1" applyFont="1" applyFill="1" applyBorder="1" applyAlignment="1">
      <alignment horizontal="right"/>
    </xf>
    <xf numFmtId="165" fontId="5" fillId="0" borderId="3" xfId="0" applyNumberFormat="1" applyFont="1" applyFill="1" applyBorder="1" applyAlignment="1">
      <alignment horizontal="right"/>
    </xf>
    <xf numFmtId="0" fontId="32" fillId="0" borderId="0" xfId="0" applyFont="1"/>
    <xf numFmtId="164" fontId="8" fillId="0" borderId="0" xfId="0" applyNumberFormat="1" applyFont="1" applyFill="1"/>
    <xf numFmtId="166" fontId="5" fillId="0" borderId="0" xfId="0" applyNumberFormat="1" applyFont="1"/>
    <xf numFmtId="0" fontId="37" fillId="0" borderId="0" xfId="0" applyFont="1" applyAlignment="1">
      <alignment horizontal="left"/>
    </xf>
    <xf numFmtId="7" fontId="17" fillId="0" borderId="0" xfId="0" applyNumberFormat="1" applyFont="1"/>
    <xf numFmtId="168" fontId="8" fillId="0" borderId="0" xfId="0" applyNumberFormat="1" applyFont="1" applyFill="1"/>
    <xf numFmtId="168" fontId="0" fillId="0" borderId="0" xfId="0" applyNumberFormat="1" applyFill="1"/>
    <xf numFmtId="168" fontId="0" fillId="0" borderId="0" xfId="0" applyNumberFormat="1"/>
    <xf numFmtId="167" fontId="8" fillId="0" borderId="0" xfId="0" applyNumberFormat="1" applyFont="1" applyFill="1"/>
    <xf numFmtId="7" fontId="8" fillId="0" borderId="0" xfId="0" applyNumberFormat="1" applyFont="1" applyFill="1"/>
    <xf numFmtId="165" fontId="14" fillId="0" borderId="0" xfId="0" applyNumberFormat="1" applyFont="1"/>
    <xf numFmtId="165" fontId="14" fillId="0" borderId="0" xfId="0" applyNumberFormat="1" applyFont="1" applyBorder="1"/>
    <xf numFmtId="167" fontId="17" fillId="0" borderId="0" xfId="0" applyNumberFormat="1" applyFont="1"/>
    <xf numFmtId="166" fontId="31" fillId="2" borderId="0" xfId="0" applyNumberFormat="1" applyFont="1" applyFill="1"/>
    <xf numFmtId="166" fontId="31" fillId="2" borderId="3" xfId="0" applyNumberFormat="1" applyFont="1" applyFill="1" applyBorder="1"/>
    <xf numFmtId="167" fontId="0" fillId="0" borderId="0" xfId="0" applyNumberFormat="1" applyBorder="1"/>
    <xf numFmtId="166" fontId="50" fillId="2" borderId="0" xfId="0" applyNumberFormat="1" applyFont="1" applyFill="1" applyAlignment="1">
      <alignment horizontal="centerContinuous"/>
    </xf>
    <xf numFmtId="166" fontId="31" fillId="2" borderId="0" xfId="0" applyNumberFormat="1" applyFont="1" applyFill="1" applyAlignment="1">
      <alignment horizontal="centerContinuous"/>
    </xf>
    <xf numFmtId="166" fontId="31" fillId="2" borderId="3" xfId="0" applyNumberFormat="1" applyFont="1" applyFill="1" applyBorder="1" applyAlignment="1">
      <alignment horizontal="centerContinuous"/>
    </xf>
    <xf numFmtId="167" fontId="17" fillId="0" borderId="0" xfId="0" applyNumberFormat="1" applyFont="1" applyBorder="1"/>
    <xf numFmtId="166" fontId="31" fillId="2" borderId="12" xfId="0" applyNumberFormat="1" applyFont="1" applyFill="1" applyBorder="1"/>
    <xf numFmtId="167" fontId="0" fillId="0" borderId="9" xfId="0" applyNumberFormat="1" applyBorder="1"/>
    <xf numFmtId="167" fontId="8" fillId="0" borderId="0" xfId="0" applyNumberFormat="1" applyFont="1" applyFill="1" applyBorder="1"/>
    <xf numFmtId="167" fontId="8" fillId="0" borderId="3" xfId="0" applyNumberFormat="1" applyFont="1" applyFill="1" applyBorder="1"/>
    <xf numFmtId="167" fontId="13" fillId="0" borderId="0" xfId="0" applyNumberFormat="1" applyFont="1" applyFill="1" applyBorder="1"/>
    <xf numFmtId="164" fontId="14" fillId="0" borderId="9" xfId="0" applyNumberFormat="1" applyFont="1" applyBorder="1"/>
    <xf numFmtId="166" fontId="14" fillId="0" borderId="0" xfId="0" applyNumberFormat="1" applyFont="1" applyFill="1" applyBorder="1"/>
    <xf numFmtId="164" fontId="13" fillId="0" borderId="0" xfId="0" applyNumberFormat="1" applyFont="1"/>
    <xf numFmtId="171" fontId="8" fillId="0" borderId="0" xfId="0" applyNumberFormat="1" applyFont="1" applyFill="1" applyBorder="1"/>
    <xf numFmtId="171" fontId="14" fillId="0" borderId="0" xfId="0" applyNumberFormat="1" applyFont="1" applyBorder="1"/>
    <xf numFmtId="165" fontId="8" fillId="0" borderId="0" xfId="0" applyNumberFormat="1" applyFont="1" applyBorder="1"/>
    <xf numFmtId="0" fontId="12" fillId="0" borderId="0" xfId="0" applyFont="1" applyBorder="1"/>
    <xf numFmtId="0" fontId="51" fillId="0" borderId="0" xfId="0" applyFont="1" applyBorder="1" applyAlignment="1" applyProtection="1">
      <protection locked="0"/>
    </xf>
    <xf numFmtId="0" fontId="51" fillId="0" borderId="0" xfId="0" applyFont="1" applyBorder="1"/>
    <xf numFmtId="0" fontId="10" fillId="0" borderId="0" xfId="0" applyFont="1" applyBorder="1"/>
    <xf numFmtId="0" fontId="5" fillId="0" borderId="0" xfId="0" applyFont="1" applyBorder="1"/>
    <xf numFmtId="0" fontId="10" fillId="0" borderId="0" xfId="0" applyFont="1"/>
    <xf numFmtId="0" fontId="9" fillId="0" borderId="13" xfId="0" applyFont="1" applyBorder="1" applyAlignment="1">
      <alignment horizontal="centerContinuous"/>
    </xf>
    <xf numFmtId="0" fontId="9" fillId="0" borderId="0" xfId="0" applyFont="1" applyBorder="1"/>
    <xf numFmtId="164" fontId="17" fillId="0" borderId="0" xfId="0" applyNumberFormat="1" applyFont="1" applyProtection="1"/>
    <xf numFmtId="0" fontId="9" fillId="0" borderId="0" xfId="0" applyFont="1" applyAlignment="1">
      <alignment horizontal="left"/>
    </xf>
    <xf numFmtId="166" fontId="17" fillId="0" borderId="0" xfId="0" applyNumberFormat="1" applyFont="1" applyProtection="1"/>
    <xf numFmtId="166" fontId="17" fillId="0" borderId="0" xfId="0" applyNumberFormat="1" applyFont="1" applyFill="1" applyProtection="1"/>
    <xf numFmtId="164" fontId="9" fillId="0" borderId="0" xfId="0" applyNumberFormat="1" applyFont="1" applyProtection="1"/>
    <xf numFmtId="0" fontId="5" fillId="0" borderId="0" xfId="0" applyFont="1" applyAlignment="1">
      <alignment horizontal="left"/>
    </xf>
    <xf numFmtId="0" fontId="5" fillId="0" borderId="0" xfId="0" applyFont="1" applyProtection="1"/>
    <xf numFmtId="174" fontId="5" fillId="0" borderId="0" xfId="0" applyNumberFormat="1" applyFont="1" applyProtection="1"/>
    <xf numFmtId="0" fontId="10" fillId="0" borderId="0" xfId="0" applyFont="1" applyAlignment="1">
      <alignment horizontal="right"/>
    </xf>
    <xf numFmtId="18" fontId="32" fillId="0" borderId="0" xfId="0" applyNumberFormat="1" applyFont="1"/>
    <xf numFmtId="166" fontId="17" fillId="0" borderId="0" xfId="0" applyNumberFormat="1" applyFont="1" applyBorder="1"/>
    <xf numFmtId="164" fontId="9" fillId="0" borderId="0" xfId="0" applyNumberFormat="1" applyFont="1" applyBorder="1"/>
    <xf numFmtId="165" fontId="0" fillId="0" borderId="0" xfId="0" applyNumberFormat="1" applyBorder="1"/>
    <xf numFmtId="167" fontId="33" fillId="0" borderId="0" xfId="0" applyNumberFormat="1" applyFont="1" applyFill="1"/>
    <xf numFmtId="167" fontId="8" fillId="0" borderId="0" xfId="0" applyNumberFormat="1" applyFont="1" applyFill="1" applyAlignment="1">
      <alignment horizontal="right"/>
    </xf>
    <xf numFmtId="174" fontId="0" fillId="2" borderId="0" xfId="0" applyNumberFormat="1" applyFill="1"/>
    <xf numFmtId="174" fontId="0" fillId="0" borderId="0" xfId="0" applyNumberFormat="1" applyFill="1"/>
    <xf numFmtId="167" fontId="11" fillId="0" borderId="0" xfId="0" applyNumberFormat="1" applyFont="1" applyFill="1" applyAlignment="1">
      <alignment horizontal="right"/>
    </xf>
    <xf numFmtId="0" fontId="2" fillId="0" borderId="0" xfId="0" applyFont="1" applyAlignment="1">
      <alignment horizontal="right"/>
    </xf>
    <xf numFmtId="0" fontId="2" fillId="0" borderId="1" xfId="0" applyFont="1" applyBorder="1"/>
    <xf numFmtId="0" fontId="55" fillId="0" borderId="0" xfId="0" applyFont="1" applyFill="1" applyBorder="1"/>
    <xf numFmtId="0" fontId="15" fillId="0" borderId="2" xfId="0" applyFont="1" applyFill="1" applyBorder="1" applyAlignment="1">
      <alignment horizontal="centerContinuous"/>
    </xf>
    <xf numFmtId="0" fontId="56" fillId="0" borderId="2" xfId="0" applyFont="1" applyFill="1" applyBorder="1" applyAlignment="1">
      <alignment horizontal="centerContinuous"/>
    </xf>
    <xf numFmtId="0" fontId="55" fillId="0" borderId="2" xfId="0" applyFont="1" applyFill="1" applyBorder="1" applyAlignment="1">
      <alignment horizontal="centerContinuous"/>
    </xf>
    <xf numFmtId="0" fontId="0" fillId="0" borderId="4" xfId="0" applyBorder="1" applyAlignment="1">
      <alignment horizontal="centerContinuous"/>
    </xf>
    <xf numFmtId="0" fontId="0" fillId="0" borderId="5" xfId="0" applyBorder="1" applyAlignment="1">
      <alignment horizontal="centerContinuous"/>
    </xf>
    <xf numFmtId="0" fontId="22" fillId="0" borderId="0" xfId="0" applyFont="1" applyAlignment="1">
      <alignment horizontal="center"/>
    </xf>
    <xf numFmtId="0" fontId="22" fillId="0" borderId="11" xfId="0" applyFont="1" applyBorder="1" applyAlignment="1">
      <alignment horizontal="center"/>
    </xf>
    <xf numFmtId="0" fontId="22" fillId="0" borderId="0" xfId="0" applyFont="1" applyFill="1" applyBorder="1" applyAlignment="1">
      <alignment horizontal="center"/>
    </xf>
    <xf numFmtId="0" fontId="2" fillId="0" borderId="3" xfId="0" applyFont="1" applyBorder="1"/>
    <xf numFmtId="0" fontId="2" fillId="0" borderId="0" xfId="0" applyFont="1" applyBorder="1"/>
    <xf numFmtId="174" fontId="0" fillId="0" borderId="0" xfId="0" applyNumberFormat="1" applyFill="1" applyAlignment="1">
      <alignment horizontal="center"/>
    </xf>
    <xf numFmtId="174" fontId="0" fillId="0" borderId="0" xfId="0" applyNumberFormat="1"/>
    <xf numFmtId="174" fontId="5" fillId="0" borderId="0" xfId="0" applyNumberFormat="1" applyFont="1" applyBorder="1"/>
    <xf numFmtId="174" fontId="5" fillId="0" borderId="3" xfId="0" applyNumberFormat="1" applyFont="1" applyBorder="1"/>
    <xf numFmtId="174" fontId="5" fillId="0" borderId="0" xfId="0" applyNumberFormat="1" applyFont="1" applyAlignment="1">
      <alignment horizontal="center"/>
    </xf>
    <xf numFmtId="0" fontId="2" fillId="0" borderId="0" xfId="0" applyFont="1" applyBorder="1" applyAlignment="1">
      <alignment horizontal="right"/>
    </xf>
    <xf numFmtId="174" fontId="0" fillId="0" borderId="0" xfId="0" applyNumberFormat="1" applyAlignment="1">
      <alignment horizontal="center"/>
    </xf>
    <xf numFmtId="0" fontId="2" fillId="0" borderId="14" xfId="0" applyFont="1" applyBorder="1"/>
    <xf numFmtId="164" fontId="17" fillId="0" borderId="14" xfId="0" applyNumberFormat="1" applyFont="1" applyBorder="1"/>
    <xf numFmtId="164" fontId="17" fillId="0" borderId="15" xfId="0" applyNumberFormat="1" applyFont="1" applyBorder="1"/>
    <xf numFmtId="0" fontId="0" fillId="0" borderId="14" xfId="0" applyBorder="1"/>
    <xf numFmtId="174" fontId="0" fillId="0" borderId="14" xfId="0" applyNumberFormat="1" applyFill="1" applyBorder="1" applyAlignment="1">
      <alignment horizontal="center"/>
    </xf>
    <xf numFmtId="174" fontId="5" fillId="0" borderId="0" xfId="0" applyNumberFormat="1" applyFont="1" applyBorder="1" applyAlignment="1">
      <alignment horizontal="right"/>
    </xf>
    <xf numFmtId="174" fontId="5" fillId="0" borderId="3" xfId="0" applyNumberFormat="1" applyFont="1" applyBorder="1" applyAlignment="1">
      <alignment horizontal="right"/>
    </xf>
    <xf numFmtId="0" fontId="2" fillId="0" borderId="3" xfId="0" applyFont="1" applyBorder="1" applyAlignment="1">
      <alignment horizontal="right"/>
    </xf>
    <xf numFmtId="0" fontId="5" fillId="0" borderId="0" xfId="0" applyFont="1" applyBorder="1" applyAlignment="1">
      <alignment horizontal="right"/>
    </xf>
    <xf numFmtId="0" fontId="5" fillId="0" borderId="0" xfId="0" applyFont="1" applyAlignment="1">
      <alignment horizontal="center"/>
    </xf>
    <xf numFmtId="0" fontId="58" fillId="0" borderId="0" xfId="0" applyFont="1" applyBorder="1"/>
    <xf numFmtId="0" fontId="5" fillId="0" borderId="3" xfId="0" applyFont="1" applyBorder="1"/>
    <xf numFmtId="166" fontId="17" fillId="0" borderId="3" xfId="0" applyNumberFormat="1" applyFont="1" applyBorder="1"/>
    <xf numFmtId="177" fontId="2" fillId="0" borderId="0" xfId="0" applyNumberFormat="1" applyFont="1" applyBorder="1"/>
    <xf numFmtId="177" fontId="2" fillId="0" borderId="3" xfId="0" applyNumberFormat="1" applyFont="1" applyBorder="1"/>
    <xf numFmtId="0" fontId="7" fillId="0" borderId="0" xfId="0" applyFont="1" applyAlignment="1">
      <alignment horizontal="center"/>
    </xf>
    <xf numFmtId="0" fontId="7" fillId="0" borderId="3" xfId="0" applyFont="1" applyBorder="1" applyAlignment="1">
      <alignment horizontal="center"/>
    </xf>
    <xf numFmtId="166" fontId="2" fillId="0" borderId="0" xfId="0" applyNumberFormat="1" applyFont="1" applyBorder="1"/>
    <xf numFmtId="166" fontId="2" fillId="0" borderId="3" xfId="0" applyNumberFormat="1" applyFont="1" applyBorder="1"/>
    <xf numFmtId="174" fontId="0" fillId="0" borderId="0" xfId="0" applyNumberFormat="1" applyBorder="1"/>
    <xf numFmtId="174" fontId="0" fillId="0" borderId="3" xfId="0" applyNumberFormat="1" applyBorder="1"/>
    <xf numFmtId="0" fontId="7" fillId="0" borderId="0" xfId="0" applyFont="1" applyBorder="1" applyAlignment="1">
      <alignment horizontal="center"/>
    </xf>
    <xf numFmtId="0" fontId="59" fillId="0" borderId="0" xfId="0" applyFont="1" applyBorder="1"/>
    <xf numFmtId="5" fontId="17" fillId="0" borderId="0" xfId="0" applyNumberFormat="1" applyFont="1" applyBorder="1"/>
    <xf numFmtId="5" fontId="17" fillId="0" borderId="3" xfId="0" applyNumberFormat="1" applyFont="1" applyBorder="1"/>
    <xf numFmtId="0" fontId="5" fillId="0" borderId="0" xfId="0" applyFont="1" applyAlignment="1">
      <alignment horizontal="right"/>
    </xf>
    <xf numFmtId="37" fontId="8" fillId="0" borderId="0" xfId="0" applyNumberFormat="1" applyFont="1" applyBorder="1"/>
    <xf numFmtId="37" fontId="8" fillId="0" borderId="3" xfId="0" applyNumberFormat="1" applyFont="1" applyBorder="1"/>
    <xf numFmtId="174" fontId="2" fillId="0" borderId="0" xfId="0" applyNumberFormat="1" applyFont="1" applyBorder="1"/>
    <xf numFmtId="174" fontId="2" fillId="0" borderId="3" xfId="0" applyNumberFormat="1" applyFont="1" applyBorder="1"/>
    <xf numFmtId="0" fontId="2" fillId="0" borderId="1" xfId="0" applyFont="1" applyBorder="1" applyAlignment="1"/>
    <xf numFmtId="0" fontId="9" fillId="0" borderId="1" xfId="0" applyFont="1" applyBorder="1"/>
    <xf numFmtId="0" fontId="2" fillId="0" borderId="0" xfId="0" applyFont="1" applyBorder="1" applyAlignment="1"/>
    <xf numFmtId="0" fontId="13" fillId="0" borderId="13" xfId="0" applyFont="1" applyBorder="1" applyAlignment="1">
      <alignment horizontal="centerContinuous"/>
    </xf>
    <xf numFmtId="0" fontId="13" fillId="0" borderId="6" xfId="0" applyFont="1" applyBorder="1" applyAlignment="1">
      <alignment horizontal="centerContinuous"/>
    </xf>
    <xf numFmtId="0" fontId="8" fillId="0" borderId="4" xfId="0" applyFont="1" applyBorder="1" applyAlignment="1">
      <alignment horizontal="centerContinuous"/>
    </xf>
    <xf numFmtId="0" fontId="8" fillId="0" borderId="5" xfId="0" applyFont="1" applyBorder="1" applyAlignment="1">
      <alignment horizontal="centerContinuous"/>
    </xf>
    <xf numFmtId="0" fontId="2" fillId="0" borderId="0" xfId="0" quotePrefix="1" applyFont="1" applyAlignment="1">
      <alignment horizontal="center"/>
    </xf>
    <xf numFmtId="172" fontId="2" fillId="0" borderId="13" xfId="0" applyNumberFormat="1" applyFont="1" applyBorder="1"/>
    <xf numFmtId="0" fontId="2" fillId="0" borderId="0" xfId="0" applyFont="1" applyAlignment="1">
      <alignment horizontal="center"/>
    </xf>
    <xf numFmtId="0" fontId="2" fillId="0" borderId="9" xfId="0" applyFont="1" applyBorder="1"/>
    <xf numFmtId="0" fontId="2" fillId="0" borderId="0" xfId="0" applyFont="1" applyAlignment="1">
      <alignment horizontal="left"/>
    </xf>
    <xf numFmtId="174" fontId="2" fillId="0" borderId="0" xfId="0" applyNumberFormat="1" applyFont="1" applyAlignment="1">
      <alignment horizontal="center"/>
    </xf>
    <xf numFmtId="166" fontId="2" fillId="0" borderId="9" xfId="0" applyNumberFormat="1" applyFont="1" applyBorder="1" applyProtection="1"/>
    <xf numFmtId="166" fontId="2" fillId="0" borderId="0" xfId="0" applyNumberFormat="1" applyFont="1" applyBorder="1" applyProtection="1"/>
    <xf numFmtId="166" fontId="2" fillId="0" borderId="0" xfId="0" applyNumberFormat="1" applyFont="1" applyProtection="1"/>
    <xf numFmtId="0" fontId="8" fillId="0" borderId="0" xfId="0" applyFont="1" applyBorder="1" applyProtection="1"/>
    <xf numFmtId="166" fontId="2" fillId="0" borderId="9" xfId="0" applyNumberFormat="1" applyFont="1" applyBorder="1"/>
    <xf numFmtId="166" fontId="9" fillId="0" borderId="0" xfId="0" applyNumberFormat="1" applyFont="1" applyProtection="1"/>
    <xf numFmtId="0" fontId="9" fillId="0" borderId="0" xfId="0" applyFont="1" applyBorder="1" applyProtection="1"/>
    <xf numFmtId="0" fontId="2" fillId="0" borderId="0" xfId="0" applyFont="1" applyProtection="1"/>
    <xf numFmtId="0" fontId="2" fillId="0" borderId="16" xfId="0" applyFont="1" applyBorder="1"/>
    <xf numFmtId="0" fontId="2" fillId="0" borderId="11" xfId="0" applyFont="1" applyBorder="1"/>
    <xf numFmtId="0" fontId="9" fillId="0" borderId="17" xfId="0" applyFont="1" applyBorder="1"/>
    <xf numFmtId="174" fontId="9" fillId="0" borderId="2" xfId="0" applyNumberFormat="1" applyFont="1" applyFill="1" applyBorder="1"/>
    <xf numFmtId="0" fontId="2" fillId="0" borderId="17" xfId="0" applyFont="1" applyBorder="1" applyAlignment="1" applyProtection="1">
      <alignment horizontal="left"/>
    </xf>
    <xf numFmtId="0" fontId="2" fillId="0" borderId="0" xfId="0" applyFont="1" applyBorder="1" applyAlignment="1" applyProtection="1">
      <alignment horizontal="left"/>
    </xf>
    <xf numFmtId="0" fontId="2" fillId="0" borderId="0" xfId="0" applyFont="1" applyBorder="1" applyProtection="1"/>
    <xf numFmtId="164" fontId="2" fillId="0" borderId="3" xfId="0" applyNumberFormat="1" applyFont="1" applyBorder="1" applyProtection="1">
      <protection hidden="1"/>
    </xf>
    <xf numFmtId="0" fontId="2" fillId="0" borderId="17" xfId="0" applyFont="1" applyBorder="1"/>
    <xf numFmtId="0" fontId="9" fillId="0" borderId="17" xfId="0" applyFont="1" applyBorder="1" applyAlignment="1" applyProtection="1">
      <alignment horizontal="left"/>
    </xf>
    <xf numFmtId="0" fontId="9" fillId="0" borderId="17" xfId="0" applyFont="1" applyBorder="1" applyAlignment="1"/>
    <xf numFmtId="164" fontId="2" fillId="0" borderId="3" xfId="0" applyNumberFormat="1" applyFont="1" applyBorder="1"/>
    <xf numFmtId="166" fontId="2" fillId="0" borderId="3" xfId="0" applyNumberFormat="1" applyFont="1" applyBorder="1" applyProtection="1">
      <protection hidden="1"/>
    </xf>
    <xf numFmtId="0" fontId="9" fillId="0" borderId="0" xfId="0" applyFont="1" applyBorder="1" applyAlignment="1" applyProtection="1">
      <alignment horizontal="left"/>
    </xf>
    <xf numFmtId="164" fontId="9" fillId="0" borderId="3" xfId="0" applyNumberFormat="1" applyFont="1" applyBorder="1" applyProtection="1">
      <protection hidden="1"/>
    </xf>
    <xf numFmtId="0" fontId="2" fillId="0" borderId="17" xfId="0" applyFont="1" applyBorder="1" applyProtection="1"/>
    <xf numFmtId="0" fontId="9" fillId="0" borderId="18" xfId="0" applyFont="1" applyBorder="1" applyAlignment="1" applyProtection="1">
      <alignment horizontal="left"/>
    </xf>
    <xf numFmtId="0" fontId="9" fillId="0" borderId="8" xfId="0" applyFont="1" applyBorder="1" applyAlignment="1" applyProtection="1">
      <alignment horizontal="left"/>
    </xf>
    <xf numFmtId="0" fontId="9" fillId="0" borderId="8" xfId="0" applyFont="1" applyBorder="1" applyProtection="1"/>
    <xf numFmtId="0" fontId="9" fillId="0" borderId="8" xfId="0" applyFont="1" applyBorder="1"/>
    <xf numFmtId="164" fontId="9" fillId="0" borderId="12" xfId="0" applyNumberFormat="1" applyFont="1" applyBorder="1" applyProtection="1">
      <protection hidden="1"/>
    </xf>
    <xf numFmtId="167" fontId="2" fillId="0" borderId="0" xfId="0" applyNumberFormat="1" applyFont="1" applyProtection="1"/>
    <xf numFmtId="0" fontId="2" fillId="0" borderId="16" xfId="0" applyFont="1" applyBorder="1" applyProtection="1"/>
    <xf numFmtId="0" fontId="2" fillId="0" borderId="9" xfId="0" applyFont="1" applyBorder="1" applyProtection="1"/>
    <xf numFmtId="164" fontId="2" fillId="0" borderId="11" xfId="0" applyNumberFormat="1" applyFont="1" applyBorder="1"/>
    <xf numFmtId="0" fontId="2" fillId="0" borderId="18" xfId="0" applyFont="1" applyBorder="1"/>
    <xf numFmtId="0" fontId="2" fillId="0" borderId="8" xfId="0" applyFont="1" applyBorder="1"/>
    <xf numFmtId="0" fontId="60" fillId="0" borderId="8" xfId="0" applyFont="1" applyBorder="1" applyAlignment="1">
      <alignment horizontal="right"/>
    </xf>
    <xf numFmtId="177" fontId="9" fillId="0" borderId="2" xfId="0" applyNumberFormat="1" applyFont="1" applyBorder="1" applyAlignment="1"/>
    <xf numFmtId="174" fontId="9" fillId="0" borderId="2" xfId="0" applyNumberFormat="1" applyFont="1" applyBorder="1" applyAlignment="1"/>
    <xf numFmtId="0" fontId="11" fillId="0" borderId="0" xfId="0" applyFont="1" applyBorder="1" applyAlignment="1">
      <alignment horizontal="right"/>
    </xf>
    <xf numFmtId="0" fontId="2" fillId="0" borderId="13" xfId="0" applyFont="1" applyBorder="1"/>
    <xf numFmtId="0" fontId="53" fillId="0" borderId="0" xfId="0" applyFont="1"/>
    <xf numFmtId="0" fontId="61" fillId="0" borderId="0" xfId="0" applyFont="1" applyBorder="1"/>
    <xf numFmtId="0" fontId="10" fillId="0" borderId="0" xfId="0" applyFont="1" applyFill="1" applyBorder="1"/>
    <xf numFmtId="0" fontId="15" fillId="2" borderId="6" xfId="0" applyFont="1" applyFill="1" applyBorder="1" applyAlignment="1">
      <alignment horizontal="centerContinuous"/>
    </xf>
    <xf numFmtId="0" fontId="13" fillId="2" borderId="4" xfId="0" applyFont="1" applyFill="1" applyBorder="1" applyAlignment="1">
      <alignment horizontal="centerContinuous"/>
    </xf>
    <xf numFmtId="0" fontId="13" fillId="2" borderId="5" xfId="0" applyFont="1" applyFill="1" applyBorder="1" applyAlignment="1">
      <alignment horizontal="centerContinuous"/>
    </xf>
    <xf numFmtId="165" fontId="5" fillId="0" borderId="0" xfId="0" applyNumberFormat="1" applyFont="1" applyAlignment="1">
      <alignment horizontal="right"/>
    </xf>
    <xf numFmtId="177" fontId="2" fillId="0" borderId="0" xfId="0" applyNumberFormat="1" applyFont="1" applyBorder="1" applyAlignment="1">
      <alignment horizontal="right"/>
    </xf>
    <xf numFmtId="177" fontId="2" fillId="0" borderId="3" xfId="0" applyNumberFormat="1" applyFont="1" applyBorder="1" applyAlignment="1">
      <alignment horizontal="right"/>
    </xf>
    <xf numFmtId="169" fontId="17" fillId="0" borderId="0" xfId="0" applyNumberFormat="1" applyFont="1"/>
    <xf numFmtId="164" fontId="17" fillId="0" borderId="0" xfId="0" applyNumberFormat="1" applyFont="1" applyAlignment="1">
      <alignment horizontal="right"/>
    </xf>
    <xf numFmtId="174" fontId="17" fillId="0" borderId="0" xfId="0" applyNumberFormat="1" applyFont="1" applyAlignment="1">
      <alignment horizontal="right"/>
    </xf>
    <xf numFmtId="168" fontId="17" fillId="0" borderId="0" xfId="0" applyNumberFormat="1" applyFont="1"/>
    <xf numFmtId="164" fontId="17" fillId="0" borderId="2" xfId="0" applyNumberFormat="1" applyFont="1" applyFill="1" applyBorder="1" applyAlignment="1">
      <alignment horizontal="centerContinuous"/>
    </xf>
    <xf numFmtId="164" fontId="17" fillId="0" borderId="2" xfId="0" applyNumberFormat="1" applyFont="1" applyBorder="1" applyAlignment="1">
      <alignment horizontal="centerContinuous"/>
    </xf>
    <xf numFmtId="8" fontId="17" fillId="0" borderId="2" xfId="0" applyNumberFormat="1" applyFont="1" applyBorder="1" applyAlignment="1">
      <alignment horizontal="centerContinuous"/>
    </xf>
    <xf numFmtId="0" fontId="12" fillId="0" borderId="0" xfId="0" applyFont="1" applyFill="1"/>
    <xf numFmtId="0" fontId="65" fillId="0" borderId="0" xfId="0" applyFont="1" applyFill="1"/>
    <xf numFmtId="0" fontId="65" fillId="0" borderId="1" xfId="0" applyFont="1" applyFill="1" applyBorder="1"/>
    <xf numFmtId="0" fontId="9" fillId="0" borderId="0" xfId="0" applyFont="1" applyFill="1" applyAlignment="1">
      <alignment horizontal="center"/>
    </xf>
    <xf numFmtId="0" fontId="19" fillId="0" borderId="0" xfId="0" applyFont="1" applyFill="1"/>
    <xf numFmtId="0" fontId="20" fillId="3" borderId="2" xfId="0" applyNumberFormat="1" applyFont="1" applyFill="1" applyBorder="1" applyAlignment="1">
      <alignment horizontal="center"/>
    </xf>
    <xf numFmtId="0" fontId="9" fillId="0" borderId="0" xfId="0" applyFont="1" applyFill="1" applyAlignment="1">
      <alignment horizontal="left"/>
    </xf>
    <xf numFmtId="172" fontId="65" fillId="0" borderId="0" xfId="0" applyNumberFormat="1" applyFont="1" applyFill="1" applyAlignment="1">
      <alignment horizontal="right"/>
    </xf>
    <xf numFmtId="0" fontId="65" fillId="0" borderId="0" xfId="0" applyFont="1" applyFill="1" applyAlignment="1">
      <alignment horizontal="center"/>
    </xf>
    <xf numFmtId="0" fontId="65" fillId="0" borderId="9" xfId="0" applyFont="1" applyFill="1" applyBorder="1" applyAlignment="1">
      <alignment horizontal="right"/>
    </xf>
    <xf numFmtId="0" fontId="65" fillId="0" borderId="9" xfId="0" applyFont="1" applyFill="1" applyBorder="1" applyAlignment="1">
      <alignment horizontal="center"/>
    </xf>
    <xf numFmtId="0" fontId="17" fillId="0" borderId="0" xfId="0" applyFont="1" applyFill="1"/>
    <xf numFmtId="167" fontId="17" fillId="0" borderId="0" xfId="0" applyNumberFormat="1" applyFont="1" applyFill="1" applyBorder="1"/>
    <xf numFmtId="167" fontId="65" fillId="0" borderId="0" xfId="0" applyNumberFormat="1" applyFont="1" applyFill="1" applyBorder="1"/>
    <xf numFmtId="167" fontId="17" fillId="0" borderId="0" xfId="0" applyNumberFormat="1" applyFont="1" applyFill="1"/>
    <xf numFmtId="167" fontId="65" fillId="0" borderId="19" xfId="0" applyNumberFormat="1" applyFont="1" applyFill="1" applyBorder="1"/>
    <xf numFmtId="167" fontId="65" fillId="0" borderId="20" xfId="0" applyNumberFormat="1" applyFont="1" applyFill="1" applyBorder="1"/>
    <xf numFmtId="167" fontId="65" fillId="0" borderId="21" xfId="0" applyNumberFormat="1" applyFont="1" applyFill="1" applyBorder="1"/>
    <xf numFmtId="167" fontId="35" fillId="0" borderId="0" xfId="0" applyNumberFormat="1" applyFont="1" applyFill="1" applyAlignment="1">
      <alignment horizontal="right"/>
    </xf>
    <xf numFmtId="167" fontId="35" fillId="0" borderId="0" xfId="0" applyNumberFormat="1" applyFont="1" applyFill="1" applyBorder="1"/>
    <xf numFmtId="167" fontId="65" fillId="0" borderId="0" xfId="0" applyNumberFormat="1" applyFont="1" applyFill="1"/>
    <xf numFmtId="18" fontId="17" fillId="0" borderId="0" xfId="0" applyNumberFormat="1" applyFont="1" applyFill="1"/>
    <xf numFmtId="0" fontId="17" fillId="0" borderId="0" xfId="0" applyFont="1" applyFill="1" applyBorder="1"/>
    <xf numFmtId="167" fontId="13" fillId="0" borderId="0" xfId="0" applyNumberFormat="1" applyFont="1" applyFill="1"/>
    <xf numFmtId="0" fontId="66" fillId="0" borderId="0" xfId="0" applyFont="1" applyFill="1"/>
    <xf numFmtId="167" fontId="67" fillId="0" borderId="0" xfId="0" applyNumberFormat="1" applyFont="1" applyFill="1" applyAlignment="1">
      <alignment horizontal="right"/>
    </xf>
    <xf numFmtId="167" fontId="68" fillId="0" borderId="0" xfId="0" applyNumberFormat="1" applyFont="1" applyFill="1"/>
    <xf numFmtId="0" fontId="68" fillId="0" borderId="0" xfId="0" applyFont="1" applyFill="1"/>
    <xf numFmtId="167" fontId="2" fillId="0" borderId="2" xfId="0" applyNumberFormat="1" applyFont="1" applyFill="1" applyBorder="1"/>
    <xf numFmtId="167" fontId="17" fillId="0" borderId="2" xfId="0" applyNumberFormat="1" applyFont="1" applyFill="1" applyBorder="1"/>
    <xf numFmtId="0" fontId="62" fillId="0" borderId="0" xfId="0" applyFont="1" applyFill="1" applyAlignment="1">
      <alignment horizontal="right"/>
    </xf>
    <xf numFmtId="167" fontId="62" fillId="0" borderId="0" xfId="0" applyNumberFormat="1" applyFont="1" applyFill="1"/>
    <xf numFmtId="167" fontId="23" fillId="0" borderId="0" xfId="0" applyNumberFormat="1" applyFont="1" applyFill="1"/>
    <xf numFmtId="18" fontId="17" fillId="0" borderId="0" xfId="0" applyNumberFormat="1" applyFont="1" applyFill="1" applyBorder="1"/>
    <xf numFmtId="166" fontId="0" fillId="0" borderId="9" xfId="0" applyNumberFormat="1" applyBorder="1"/>
    <xf numFmtId="8" fontId="0" fillId="0" borderId="23" xfId="0" applyNumberFormat="1" applyFill="1" applyBorder="1"/>
    <xf numFmtId="8" fontId="0" fillId="0" borderId="24" xfId="0" applyNumberFormat="1" applyFill="1" applyBorder="1"/>
    <xf numFmtId="7" fontId="69" fillId="0" borderId="0" xfId="0" applyNumberFormat="1" applyFont="1" applyFill="1" applyAlignment="1">
      <alignment horizontal="right"/>
    </xf>
    <xf numFmtId="164" fontId="9" fillId="0" borderId="9" xfId="0" applyNumberFormat="1" applyFont="1" applyBorder="1"/>
    <xf numFmtId="164" fontId="9" fillId="0" borderId="3" xfId="0" applyNumberFormat="1" applyFont="1" applyBorder="1"/>
    <xf numFmtId="164" fontId="65" fillId="0" borderId="0" xfId="0" applyNumberFormat="1" applyFont="1"/>
    <xf numFmtId="166" fontId="65" fillId="0" borderId="0" xfId="0" applyNumberFormat="1" applyFont="1"/>
    <xf numFmtId="0" fontId="65" fillId="0" borderId="0" xfId="0" applyFont="1" applyBorder="1"/>
    <xf numFmtId="166" fontId="65" fillId="0" borderId="9" xfId="0" applyNumberFormat="1" applyFont="1" applyBorder="1"/>
    <xf numFmtId="0" fontId="65" fillId="0" borderId="0" xfId="0" applyFont="1"/>
    <xf numFmtId="164" fontId="65" fillId="0" borderId="9" xfId="0" applyNumberFormat="1" applyFont="1" applyBorder="1"/>
    <xf numFmtId="166" fontId="13" fillId="0" borderId="0" xfId="0" applyNumberFormat="1" applyFont="1"/>
    <xf numFmtId="164" fontId="0" fillId="0" borderId="11" xfId="0" applyNumberFormat="1" applyBorder="1"/>
    <xf numFmtId="37" fontId="8" fillId="0" borderId="2" xfId="0" applyNumberFormat="1" applyFont="1" applyBorder="1" applyAlignment="1">
      <alignment horizontal="centerContinuous"/>
    </xf>
    <xf numFmtId="0" fontId="7" fillId="0" borderId="3" xfId="0" applyFont="1" applyBorder="1"/>
    <xf numFmtId="164" fontId="17" fillId="0" borderId="3" xfId="0" applyNumberFormat="1" applyFont="1" applyFill="1" applyBorder="1"/>
    <xf numFmtId="166" fontId="5" fillId="0" borderId="3" xfId="0" applyNumberFormat="1" applyFont="1" applyBorder="1"/>
    <xf numFmtId="166" fontId="70" fillId="0" borderId="0" xfId="0" applyNumberFormat="1" applyFont="1"/>
    <xf numFmtId="0" fontId="2" fillId="2" borderId="0" xfId="0" applyNumberFormat="1" applyFont="1" applyFill="1"/>
    <xf numFmtId="0" fontId="63" fillId="2" borderId="0" xfId="0" applyNumberFormat="1" applyFont="1" applyFill="1" applyAlignment="1">
      <alignment horizontal="centerContinuous"/>
    </xf>
    <xf numFmtId="0" fontId="70" fillId="2" borderId="0" xfId="0" applyNumberFormat="1" applyFont="1" applyFill="1"/>
    <xf numFmtId="0" fontId="15" fillId="0" borderId="6" xfId="0" applyFont="1" applyFill="1" applyBorder="1" applyAlignment="1">
      <alignment horizontal="centerContinuous"/>
    </xf>
    <xf numFmtId="0" fontId="13" fillId="0" borderId="4" xfId="0" applyFont="1" applyFill="1" applyBorder="1" applyAlignment="1">
      <alignment horizontal="centerContinuous"/>
    </xf>
    <xf numFmtId="0" fontId="13" fillId="0" borderId="5" xfId="0" applyFont="1" applyFill="1" applyBorder="1" applyAlignment="1">
      <alignment horizontal="centerContinuous"/>
    </xf>
    <xf numFmtId="0" fontId="2" fillId="0" borderId="0" xfId="0" applyFont="1" applyFill="1"/>
    <xf numFmtId="0" fontId="2" fillId="0" borderId="0" xfId="0" applyFont="1" applyFill="1" applyBorder="1"/>
    <xf numFmtId="0" fontId="65" fillId="0" borderId="9" xfId="0" applyFont="1" applyFill="1" applyBorder="1"/>
    <xf numFmtId="0" fontId="9" fillId="0" borderId="0" xfId="0" applyFont="1" applyFill="1" applyBorder="1" applyAlignment="1">
      <alignment horizontal="left"/>
    </xf>
    <xf numFmtId="167" fontId="71" fillId="0" borderId="0" xfId="0" applyNumberFormat="1" applyFont="1" applyFill="1" applyAlignment="1">
      <alignment horizontal="center"/>
    </xf>
    <xf numFmtId="0" fontId="9" fillId="0" borderId="6" xfId="0" applyFont="1" applyFill="1" applyBorder="1" applyAlignment="1">
      <alignment horizontal="centerContinuous"/>
    </xf>
    <xf numFmtId="0" fontId="9" fillId="0" borderId="4" xfId="0" applyFont="1" applyFill="1" applyBorder="1" applyAlignment="1">
      <alignment horizontal="centerContinuous"/>
    </xf>
    <xf numFmtId="0" fontId="9" fillId="0" borderId="5" xfId="0" applyFont="1" applyBorder="1" applyAlignment="1">
      <alignment horizontal="centerContinuous"/>
    </xf>
    <xf numFmtId="0" fontId="65" fillId="0" borderId="0" xfId="0" applyFont="1" applyFill="1" applyBorder="1" applyAlignment="1">
      <alignment horizontal="centerContinuous"/>
    </xf>
    <xf numFmtId="0" fontId="0" fillId="0" borderId="0" xfId="0" applyAlignment="1">
      <alignment horizontal="centerContinuous"/>
    </xf>
    <xf numFmtId="166" fontId="9" fillId="0" borderId="0" xfId="0" applyNumberFormat="1" applyFont="1" applyFill="1" applyAlignment="1">
      <alignment horizontal="centerContinuous"/>
    </xf>
    <xf numFmtId="167" fontId="17" fillId="0" borderId="0" xfId="0" applyNumberFormat="1" applyFont="1" applyFill="1" applyAlignment="1">
      <alignment horizontal="centerContinuous"/>
    </xf>
    <xf numFmtId="167" fontId="9" fillId="0" borderId="0" xfId="0" applyNumberFormat="1" applyFont="1" applyFill="1" applyAlignment="1">
      <alignment horizontal="centerContinuous"/>
    </xf>
    <xf numFmtId="0" fontId="47" fillId="0" borderId="0" xfId="0" applyFont="1" applyFill="1" applyAlignment="1">
      <alignment horizontal="center"/>
    </xf>
    <xf numFmtId="0" fontId="0" fillId="0" borderId="4" xfId="0" applyFill="1" applyBorder="1" applyAlignment="1">
      <alignment horizontal="centerContinuous"/>
    </xf>
    <xf numFmtId="0" fontId="0" fillId="0" borderId="5" xfId="0" applyFill="1" applyBorder="1" applyAlignment="1">
      <alignment horizontal="centerContinuous"/>
    </xf>
    <xf numFmtId="0" fontId="65" fillId="0" borderId="0" xfId="0" applyFont="1" applyFill="1" applyAlignment="1">
      <alignment horizontal="centerContinuous"/>
    </xf>
    <xf numFmtId="179" fontId="17" fillId="0" borderId="0" xfId="0" applyNumberFormat="1" applyFont="1" applyFill="1" applyAlignment="1">
      <alignment horizontal="centerContinuous"/>
    </xf>
    <xf numFmtId="179" fontId="9" fillId="0" borderId="0" xfId="0" applyNumberFormat="1" applyFont="1" applyFill="1" applyAlignment="1">
      <alignment horizontal="centerContinuous"/>
    </xf>
    <xf numFmtId="167" fontId="72" fillId="0" borderId="0" xfId="0" applyNumberFormat="1" applyFont="1" applyFill="1" applyAlignment="1">
      <alignment horizontal="center"/>
    </xf>
    <xf numFmtId="0" fontId="65" fillId="0" borderId="0" xfId="0" applyFont="1" applyFill="1" applyBorder="1"/>
    <xf numFmtId="0" fontId="9" fillId="0" borderId="0" xfId="0" applyFont="1" applyFill="1" applyBorder="1" applyAlignment="1">
      <alignment horizontal="center"/>
    </xf>
    <xf numFmtId="172" fontId="65" fillId="0" borderId="0" xfId="0" applyNumberFormat="1" applyFont="1" applyFill="1" applyBorder="1" applyAlignment="1">
      <alignment horizontal="right"/>
    </xf>
    <xf numFmtId="0" fontId="65" fillId="0" borderId="0" xfId="0" applyFont="1" applyFill="1" applyBorder="1" applyAlignment="1">
      <alignment horizontal="right"/>
    </xf>
    <xf numFmtId="167" fontId="62" fillId="0" borderId="0" xfId="0" applyNumberFormat="1" applyFont="1" applyFill="1" applyBorder="1"/>
    <xf numFmtId="167" fontId="73" fillId="0" borderId="0" xfId="0" applyNumberFormat="1" applyFont="1" applyFill="1" applyAlignment="1">
      <alignment horizontal="right"/>
    </xf>
    <xf numFmtId="166" fontId="74" fillId="0" borderId="0" xfId="0" applyNumberFormat="1" applyFont="1" applyFill="1"/>
    <xf numFmtId="0" fontId="15" fillId="0" borderId="0" xfId="0" applyFont="1" applyFill="1"/>
    <xf numFmtId="174" fontId="9" fillId="0" borderId="0" xfId="0" applyNumberFormat="1" applyFont="1" applyFill="1"/>
    <xf numFmtId="0" fontId="75" fillId="0" borderId="0" xfId="0" applyFont="1" applyFill="1" applyAlignment="1"/>
    <xf numFmtId="0" fontId="75" fillId="0" borderId="0" xfId="0" applyFont="1" applyFill="1" applyAlignment="1">
      <alignment horizontal="left"/>
    </xf>
    <xf numFmtId="167" fontId="2" fillId="0" borderId="0" xfId="0" applyNumberFormat="1" applyFont="1" applyFill="1" applyBorder="1"/>
    <xf numFmtId="0" fontId="73" fillId="0" borderId="0" xfId="0" applyFont="1" applyFill="1"/>
    <xf numFmtId="0" fontId="47" fillId="0" borderId="0" xfId="0" applyFont="1"/>
    <xf numFmtId="0" fontId="65" fillId="0" borderId="17" xfId="0" applyFont="1" applyBorder="1" applyProtection="1"/>
    <xf numFmtId="166" fontId="7" fillId="0" borderId="3" xfId="0" applyNumberFormat="1" applyFont="1" applyFill="1" applyBorder="1" applyProtection="1">
      <protection hidden="1"/>
    </xf>
    <xf numFmtId="172" fontId="9" fillId="0" borderId="0" xfId="0" applyNumberFormat="1" applyFont="1" applyFill="1"/>
    <xf numFmtId="0" fontId="14" fillId="0" borderId="0" xfId="0" applyFont="1" applyFill="1" applyAlignment="1"/>
    <xf numFmtId="0" fontId="14" fillId="0" borderId="0" xfId="0" applyFont="1" applyAlignment="1" applyProtection="1">
      <alignment horizontal="right"/>
    </xf>
    <xf numFmtId="0" fontId="9" fillId="0" borderId="0" xfId="0" applyFont="1" applyFill="1" applyBorder="1" applyAlignment="1">
      <alignment horizontal="centerContinuous"/>
    </xf>
    <xf numFmtId="0" fontId="14" fillId="0" borderId="0" xfId="0" applyFont="1" applyFill="1" applyBorder="1"/>
    <xf numFmtId="7" fontId="35" fillId="0" borderId="0" xfId="0" applyNumberFormat="1" applyFont="1"/>
    <xf numFmtId="178" fontId="8" fillId="0" borderId="0" xfId="0" applyNumberFormat="1" applyFont="1"/>
    <xf numFmtId="178" fontId="14" fillId="0" borderId="0" xfId="0" applyNumberFormat="1" applyFont="1"/>
    <xf numFmtId="0" fontId="9" fillId="0" borderId="0" xfId="0" applyFont="1" applyFill="1" applyBorder="1"/>
    <xf numFmtId="174" fontId="8" fillId="0" borderId="0" xfId="0" applyNumberFormat="1" applyFont="1"/>
    <xf numFmtId="7" fontId="14" fillId="0" borderId="16" xfId="0" applyNumberFormat="1" applyFont="1" applyBorder="1"/>
    <xf numFmtId="7" fontId="14" fillId="0" borderId="9" xfId="0" applyNumberFormat="1" applyFont="1" applyBorder="1"/>
    <xf numFmtId="7" fontId="14" fillId="0" borderId="11" xfId="0" applyNumberFormat="1" applyFont="1" applyBorder="1"/>
    <xf numFmtId="174" fontId="14" fillId="0" borderId="0" xfId="0" applyNumberFormat="1" applyFont="1"/>
    <xf numFmtId="7" fontId="14" fillId="0" borderId="17" xfId="0" applyNumberFormat="1" applyFont="1" applyBorder="1"/>
    <xf numFmtId="7" fontId="14" fillId="0" borderId="0" xfId="0" applyNumberFormat="1" applyFont="1" applyBorder="1"/>
    <xf numFmtId="7" fontId="14" fillId="0" borderId="3" xfId="0" applyNumberFormat="1" applyFont="1" applyBorder="1"/>
    <xf numFmtId="7" fontId="14" fillId="0" borderId="18" xfId="0" applyNumberFormat="1" applyFont="1" applyBorder="1"/>
    <xf numFmtId="7" fontId="14" fillId="0" borderId="8" xfId="0" applyNumberFormat="1" applyFont="1" applyBorder="1"/>
    <xf numFmtId="7" fontId="14" fillId="0" borderId="12" xfId="0" applyNumberFormat="1" applyFont="1" applyBorder="1"/>
    <xf numFmtId="0" fontId="22" fillId="0" borderId="0" xfId="0" applyFont="1" applyBorder="1"/>
    <xf numFmtId="168" fontId="8" fillId="0" borderId="0" xfId="0" applyNumberFormat="1" applyFont="1"/>
    <xf numFmtId="168" fontId="14" fillId="0" borderId="0" xfId="0" applyNumberFormat="1" applyFont="1"/>
    <xf numFmtId="166" fontId="23" fillId="0" borderId="0" xfId="0" applyNumberFormat="1" applyFont="1" applyFill="1"/>
    <xf numFmtId="165" fontId="23" fillId="0" borderId="0" xfId="0" applyNumberFormat="1" applyFont="1" applyFill="1"/>
    <xf numFmtId="166" fontId="23" fillId="0" borderId="0" xfId="0" applyNumberFormat="1" applyFont="1"/>
    <xf numFmtId="164" fontId="23" fillId="0" borderId="0" xfId="0" applyNumberFormat="1" applyFont="1"/>
    <xf numFmtId="0" fontId="23" fillId="0" borderId="0" xfId="0" applyFont="1" applyBorder="1"/>
    <xf numFmtId="166" fontId="13" fillId="0" borderId="0" xfId="0" applyNumberFormat="1" applyFont="1" applyBorder="1"/>
    <xf numFmtId="3" fontId="0" fillId="0" borderId="0" xfId="0" applyNumberFormat="1"/>
    <xf numFmtId="166" fontId="65" fillId="0" borderId="0" xfId="0" applyNumberFormat="1" applyFont="1" applyBorder="1"/>
    <xf numFmtId="180" fontId="8" fillId="0" borderId="0" xfId="0" applyNumberFormat="1" applyFont="1"/>
    <xf numFmtId="166" fontId="6" fillId="2" borderId="17" xfId="0" applyNumberFormat="1" applyFont="1" applyFill="1" applyBorder="1"/>
    <xf numFmtId="0" fontId="39" fillId="0" borderId="9" xfId="0" applyFont="1" applyFill="1" applyBorder="1"/>
    <xf numFmtId="0" fontId="76" fillId="0" borderId="9" xfId="0" applyFont="1" applyFill="1" applyBorder="1"/>
    <xf numFmtId="165" fontId="76" fillId="0" borderId="9" xfId="0" applyNumberFormat="1" applyFont="1" applyFill="1" applyBorder="1"/>
    <xf numFmtId="165" fontId="13" fillId="0" borderId="9" xfId="0" applyNumberFormat="1" applyFont="1" applyFill="1" applyBorder="1"/>
    <xf numFmtId="0" fontId="76" fillId="0" borderId="0" xfId="0" applyFont="1" applyFill="1" applyBorder="1"/>
    <xf numFmtId="0" fontId="15" fillId="0" borderId="0" xfId="0" applyFont="1" applyFill="1" applyBorder="1"/>
    <xf numFmtId="0" fontId="39" fillId="0" borderId="0" xfId="0" applyFont="1" applyFill="1" applyBorder="1"/>
    <xf numFmtId="165" fontId="76" fillId="0" borderId="0" xfId="0" applyNumberFormat="1" applyFont="1" applyFill="1" applyBorder="1"/>
    <xf numFmtId="165" fontId="13" fillId="0" borderId="0" xfId="0" applyNumberFormat="1" applyFont="1" applyFill="1" applyBorder="1"/>
    <xf numFmtId="173" fontId="0" fillId="0" borderId="0" xfId="0" applyNumberFormat="1"/>
    <xf numFmtId="173" fontId="31" fillId="0" borderId="0" xfId="0" applyNumberFormat="1" applyFont="1" applyFill="1" applyAlignment="1">
      <alignment horizontal="right"/>
    </xf>
    <xf numFmtId="173" fontId="23" fillId="0" borderId="0" xfId="0" applyNumberFormat="1" applyFont="1"/>
    <xf numFmtId="173" fontId="31" fillId="0" borderId="0" xfId="0" applyNumberFormat="1" applyFont="1" applyFill="1"/>
    <xf numFmtId="164" fontId="8" fillId="2" borderId="17" xfId="0" applyNumberFormat="1" applyFont="1" applyFill="1" applyBorder="1"/>
    <xf numFmtId="0" fontId="81" fillId="2" borderId="16" xfId="0" applyFont="1" applyFill="1" applyBorder="1"/>
    <xf numFmtId="0" fontId="48" fillId="2" borderId="17" xfId="0" applyFont="1" applyFill="1" applyBorder="1"/>
    <xf numFmtId="0" fontId="76" fillId="2" borderId="3" xfId="0" applyFont="1" applyFill="1" applyBorder="1"/>
    <xf numFmtId="164" fontId="13" fillId="2" borderId="17" xfId="0" applyNumberFormat="1" applyFont="1" applyFill="1" applyBorder="1"/>
    <xf numFmtId="0" fontId="13" fillId="2" borderId="3" xfId="0" applyFont="1" applyFill="1" applyBorder="1"/>
    <xf numFmtId="174" fontId="13" fillId="2" borderId="17" xfId="0" applyNumberFormat="1" applyFont="1" applyFill="1" applyBorder="1"/>
    <xf numFmtId="166" fontId="13" fillId="2" borderId="17" xfId="0" applyNumberFormat="1" applyFont="1" applyFill="1" applyBorder="1"/>
    <xf numFmtId="0" fontId="80" fillId="0" borderId="0" xfId="0" applyFont="1"/>
    <xf numFmtId="0" fontId="38" fillId="0" borderId="0" xfId="0" applyFont="1"/>
    <xf numFmtId="0" fontId="57" fillId="0" borderId="0" xfId="0" applyFont="1"/>
    <xf numFmtId="0" fontId="0" fillId="0" borderId="0" xfId="0" applyFont="1"/>
    <xf numFmtId="0" fontId="64" fillId="0" borderId="0" xfId="0" applyFont="1"/>
    <xf numFmtId="7" fontId="79" fillId="0" borderId="0" xfId="0" applyNumberFormat="1" applyFont="1" applyFill="1"/>
    <xf numFmtId="7" fontId="0" fillId="0" borderId="0" xfId="0" applyNumberFormat="1" applyFill="1" applyAlignment="1">
      <alignment horizontal="right"/>
    </xf>
    <xf numFmtId="7" fontId="73" fillId="0" borderId="0" xfId="0" applyNumberFormat="1" applyFont="1" applyFill="1" applyAlignment="1">
      <alignment horizontal="right"/>
    </xf>
    <xf numFmtId="7" fontId="73" fillId="0" borderId="0" xfId="0" applyNumberFormat="1" applyFont="1" applyFill="1" applyAlignment="1">
      <alignment horizontal="center"/>
    </xf>
    <xf numFmtId="164" fontId="13" fillId="0" borderId="0" xfId="0" applyNumberFormat="1" applyFont="1" applyFill="1"/>
    <xf numFmtId="165" fontId="71" fillId="0" borderId="0" xfId="0" applyNumberFormat="1" applyFont="1"/>
    <xf numFmtId="0" fontId="76" fillId="0" borderId="0" xfId="0" applyFont="1"/>
    <xf numFmtId="0" fontId="23" fillId="0" borderId="0" xfId="0" applyNumberFormat="1" applyFont="1" applyAlignment="1">
      <alignment horizontal="centerContinuous"/>
    </xf>
    <xf numFmtId="0" fontId="13" fillId="0" borderId="6" xfId="0" applyFont="1" applyFill="1" applyBorder="1"/>
    <xf numFmtId="0" fontId="13" fillId="0" borderId="4" xfId="0" applyFont="1" applyFill="1" applyBorder="1"/>
    <xf numFmtId="0" fontId="15" fillId="0" borderId="4" xfId="0" applyFont="1" applyFill="1" applyBorder="1" applyAlignment="1" applyProtection="1">
      <alignment horizontal="right"/>
    </xf>
    <xf numFmtId="7" fontId="15" fillId="0" borderId="5" xfId="0" applyNumberFormat="1" applyFont="1" applyFill="1" applyBorder="1" applyProtection="1">
      <protection hidden="1"/>
    </xf>
    <xf numFmtId="0" fontId="21" fillId="0" borderId="0" xfId="0" applyFont="1" applyFill="1" applyBorder="1"/>
    <xf numFmtId="164" fontId="9" fillId="0" borderId="0" xfId="0" applyNumberFormat="1" applyFont="1" applyFill="1" applyBorder="1"/>
    <xf numFmtId="166" fontId="14" fillId="0" borderId="9" xfId="0" applyNumberFormat="1" applyFont="1" applyBorder="1"/>
    <xf numFmtId="166" fontId="63" fillId="0" borderId="0" xfId="0" applyNumberFormat="1" applyFont="1"/>
    <xf numFmtId="0" fontId="16" fillId="2" borderId="0" xfId="0" applyFont="1" applyFill="1"/>
    <xf numFmtId="164" fontId="8" fillId="0" borderId="0" xfId="0" applyNumberFormat="1" applyFont="1" applyFill="1" applyBorder="1"/>
    <xf numFmtId="164" fontId="0" fillId="0" borderId="3" xfId="0" applyNumberFormat="1" applyBorder="1"/>
    <xf numFmtId="164" fontId="9" fillId="0" borderId="3" xfId="0" applyNumberFormat="1" applyFont="1" applyFill="1" applyBorder="1"/>
    <xf numFmtId="166" fontId="0" fillId="0" borderId="3" xfId="0" applyNumberFormat="1" applyBorder="1"/>
    <xf numFmtId="165" fontId="0" fillId="0" borderId="3" xfId="0" applyNumberFormat="1" applyBorder="1"/>
    <xf numFmtId="166" fontId="88" fillId="0" borderId="0" xfId="0" applyNumberFormat="1" applyFont="1"/>
    <xf numFmtId="0" fontId="14" fillId="0" borderId="3" xfId="0" applyFont="1" applyBorder="1"/>
    <xf numFmtId="0" fontId="0" fillId="0" borderId="3" xfId="0" applyFill="1" applyBorder="1"/>
    <xf numFmtId="0" fontId="0" fillId="2" borderId="3" xfId="0" applyFill="1" applyBorder="1"/>
    <xf numFmtId="0" fontId="35" fillId="2" borderId="3" xfId="0" applyFont="1" applyFill="1" applyBorder="1" applyAlignment="1">
      <alignment horizontal="right"/>
    </xf>
    <xf numFmtId="164" fontId="0" fillId="2" borderId="3" xfId="0" applyNumberFormat="1" applyFill="1" applyBorder="1"/>
    <xf numFmtId="166" fontId="35" fillId="2" borderId="3" xfId="0" applyNumberFormat="1" applyFont="1" applyFill="1" applyBorder="1" applyAlignment="1">
      <alignment horizontal="right"/>
    </xf>
    <xf numFmtId="166" fontId="8" fillId="0" borderId="25" xfId="0" applyNumberFormat="1" applyFont="1" applyBorder="1"/>
    <xf numFmtId="164" fontId="0" fillId="0" borderId="3" xfId="0" applyNumberFormat="1" applyFill="1" applyBorder="1"/>
    <xf numFmtId="164" fontId="13" fillId="0" borderId="3" xfId="0" applyNumberFormat="1" applyFont="1" applyFill="1" applyBorder="1"/>
    <xf numFmtId="0" fontId="9" fillId="0" borderId="3" xfId="0" applyFont="1" applyFill="1" applyBorder="1"/>
    <xf numFmtId="0" fontId="2" fillId="2" borderId="3" xfId="0" applyNumberFormat="1" applyFont="1" applyFill="1" applyBorder="1"/>
    <xf numFmtId="0" fontId="63" fillId="2" borderId="3" xfId="0" applyNumberFormat="1" applyFont="1" applyFill="1" applyBorder="1" applyAlignment="1">
      <alignment horizontal="centerContinuous"/>
    </xf>
    <xf numFmtId="0" fontId="70" fillId="2" borderId="3" xfId="0" applyNumberFormat="1" applyFont="1" applyFill="1" applyBorder="1"/>
    <xf numFmtId="167" fontId="8" fillId="0" borderId="3" xfId="0" applyNumberFormat="1" applyFont="1" applyBorder="1"/>
    <xf numFmtId="164" fontId="8" fillId="0" borderId="3" xfId="0" applyNumberFormat="1" applyFont="1" applyBorder="1"/>
    <xf numFmtId="164" fontId="8" fillId="0" borderId="3" xfId="0" applyNumberFormat="1" applyFont="1" applyFill="1" applyBorder="1"/>
    <xf numFmtId="0" fontId="8" fillId="0" borderId="3" xfId="0" applyFont="1" applyBorder="1"/>
    <xf numFmtId="164" fontId="8" fillId="0" borderId="3" xfId="0" applyNumberFormat="1" applyFont="1" applyBorder="1" applyAlignment="1">
      <alignment horizontal="right"/>
    </xf>
    <xf numFmtId="165" fontId="14" fillId="0" borderId="3" xfId="0" applyNumberFormat="1" applyFont="1" applyBorder="1"/>
    <xf numFmtId="166" fontId="0" fillId="0" borderId="11" xfId="0" applyNumberFormat="1" applyBorder="1"/>
    <xf numFmtId="166" fontId="8" fillId="0" borderId="3" xfId="0" applyNumberFormat="1" applyFont="1" applyFill="1" applyBorder="1"/>
    <xf numFmtId="166" fontId="8" fillId="0" borderId="12" xfId="0" applyNumberFormat="1" applyFont="1" applyFill="1" applyBorder="1"/>
    <xf numFmtId="164" fontId="9" fillId="0" borderId="11" xfId="0" applyNumberFormat="1" applyFont="1" applyFill="1" applyBorder="1"/>
    <xf numFmtId="167" fontId="8" fillId="0" borderId="3" xfId="0" applyNumberFormat="1" applyFont="1" applyBorder="1" applyAlignment="1">
      <alignment horizontal="right"/>
    </xf>
    <xf numFmtId="7" fontId="9" fillId="0" borderId="3" xfId="0" applyNumberFormat="1" applyFont="1" applyFill="1" applyBorder="1"/>
    <xf numFmtId="174" fontId="0" fillId="0" borderId="3" xfId="0" applyNumberFormat="1" applyFill="1" applyBorder="1"/>
    <xf numFmtId="174" fontId="0" fillId="0" borderId="12" xfId="0" applyNumberFormat="1" applyFill="1" applyBorder="1"/>
    <xf numFmtId="166" fontId="13" fillId="0" borderId="3" xfId="0" applyNumberFormat="1" applyFont="1" applyFill="1" applyBorder="1"/>
    <xf numFmtId="164" fontId="9" fillId="0" borderId="11" xfId="0" applyNumberFormat="1" applyFont="1" applyBorder="1"/>
    <xf numFmtId="166" fontId="13" fillId="0" borderId="3" xfId="0" applyNumberFormat="1" applyFont="1" applyBorder="1"/>
    <xf numFmtId="167" fontId="11" fillId="0" borderId="3" xfId="0" applyNumberFormat="1" applyFont="1" applyFill="1" applyBorder="1" applyAlignment="1">
      <alignment horizontal="right"/>
    </xf>
    <xf numFmtId="0" fontId="9" fillId="0" borderId="0" xfId="0" applyFont="1" applyFill="1" applyAlignment="1"/>
    <xf numFmtId="0" fontId="89" fillId="0" borderId="0" xfId="0" applyFont="1" applyFill="1"/>
    <xf numFmtId="0" fontId="89" fillId="0" borderId="0" xfId="0" applyFont="1"/>
    <xf numFmtId="0" fontId="14" fillId="0" borderId="0" xfId="0" quotePrefix="1" applyFont="1"/>
    <xf numFmtId="167" fontId="89" fillId="0" borderId="0" xfId="0" applyNumberFormat="1" applyFont="1"/>
    <xf numFmtId="167" fontId="13" fillId="0" borderId="8" xfId="0" applyNumberFormat="1" applyFont="1" applyFill="1" applyBorder="1"/>
    <xf numFmtId="167" fontId="13" fillId="0" borderId="12" xfId="0" applyNumberFormat="1" applyFont="1" applyFill="1" applyBorder="1"/>
    <xf numFmtId="0" fontId="9" fillId="0" borderId="6" xfId="0" applyFont="1" applyBorder="1" applyAlignment="1">
      <alignment horizontal="right"/>
    </xf>
    <xf numFmtId="164" fontId="8" fillId="0" borderId="17" xfId="0" applyNumberFormat="1" applyFont="1" applyBorder="1"/>
    <xf numFmtId="178" fontId="8" fillId="0" borderId="3" xfId="0" applyNumberFormat="1" applyFont="1" applyBorder="1"/>
    <xf numFmtId="166" fontId="8" fillId="0" borderId="17" xfId="0" applyNumberFormat="1" applyFont="1" applyBorder="1"/>
    <xf numFmtId="0" fontId="22" fillId="0" borderId="16" xfId="0" applyFont="1" applyBorder="1" applyAlignment="1">
      <alignment horizontal="centerContinuous"/>
    </xf>
    <xf numFmtId="0" fontId="22" fillId="0" borderId="11" xfId="0" applyFont="1" applyBorder="1" applyAlignment="1">
      <alignment horizontal="centerContinuous"/>
    </xf>
    <xf numFmtId="0" fontId="39" fillId="0" borderId="0" xfId="0" applyFont="1" applyFill="1" applyBorder="1" applyAlignment="1"/>
    <xf numFmtId="167" fontId="8" fillId="0" borderId="0" xfId="0" applyNumberFormat="1" applyFont="1"/>
    <xf numFmtId="0" fontId="89" fillId="0" borderId="0" xfId="0" applyFont="1" applyAlignment="1"/>
    <xf numFmtId="0" fontId="0" fillId="0" borderId="0" xfId="0" applyAlignment="1"/>
    <xf numFmtId="173" fontId="0" fillId="0" borderId="0" xfId="0" applyNumberFormat="1" applyAlignment="1"/>
    <xf numFmtId="173" fontId="31" fillId="0" borderId="0" xfId="0" applyNumberFormat="1" applyFont="1" applyFill="1" applyAlignment="1"/>
    <xf numFmtId="173" fontId="23" fillId="0" borderId="0" xfId="0" applyNumberFormat="1" applyFont="1" applyAlignment="1"/>
    <xf numFmtId="173" fontId="31" fillId="0" borderId="0" xfId="0" applyNumberFormat="1" applyFont="1" applyFill="1" applyBorder="1" applyAlignment="1"/>
    <xf numFmtId="0" fontId="89" fillId="0" borderId="3" xfId="0" applyFont="1" applyBorder="1" applyAlignment="1"/>
    <xf numFmtId="0" fontId="13" fillId="2" borderId="11" xfId="0" applyFont="1" applyFill="1" applyBorder="1"/>
    <xf numFmtId="166" fontId="13" fillId="2" borderId="3" xfId="0" applyNumberFormat="1" applyFont="1" applyFill="1" applyBorder="1" applyAlignment="1">
      <alignment horizontal="centerContinuous"/>
    </xf>
    <xf numFmtId="166" fontId="13" fillId="2" borderId="3" xfId="0" applyNumberFormat="1" applyFont="1" applyFill="1" applyBorder="1"/>
    <xf numFmtId="166" fontId="13" fillId="2" borderId="3" xfId="0" applyNumberFormat="1" applyFont="1" applyFill="1" applyBorder="1" applyAlignment="1"/>
    <xf numFmtId="7" fontId="14" fillId="0" borderId="0" xfId="0" applyNumberFormat="1" applyFont="1" applyFill="1"/>
    <xf numFmtId="0" fontId="14" fillId="0" borderId="3" xfId="0" applyFont="1" applyFill="1" applyBorder="1"/>
    <xf numFmtId="0" fontId="14" fillId="0" borderId="3" xfId="0" quotePrefix="1" applyFont="1" applyFill="1" applyBorder="1"/>
    <xf numFmtId="166" fontId="14" fillId="0" borderId="3" xfId="0" quotePrefix="1" applyNumberFormat="1" applyFont="1" applyBorder="1"/>
    <xf numFmtId="0" fontId="14" fillId="0" borderId="0" xfId="0" quotePrefix="1" applyFont="1" applyFill="1"/>
    <xf numFmtId="166" fontId="14" fillId="0" borderId="0" xfId="0" quotePrefix="1" applyNumberFormat="1" applyFont="1"/>
    <xf numFmtId="39" fontId="0" fillId="0" borderId="0" xfId="0" applyNumberFormat="1" applyFill="1"/>
    <xf numFmtId="39" fontId="0" fillId="0" borderId="0" xfId="0" applyNumberFormat="1"/>
    <xf numFmtId="174" fontId="20" fillId="3" borderId="2" xfId="0" applyNumberFormat="1" applyFont="1" applyFill="1" applyBorder="1"/>
    <xf numFmtId="174" fontId="8" fillId="3" borderId="2" xfId="0" applyNumberFormat="1" applyFont="1" applyFill="1" applyBorder="1" applyProtection="1">
      <protection locked="0"/>
    </xf>
    <xf numFmtId="177" fontId="8" fillId="3" borderId="2" xfId="0" applyNumberFormat="1" applyFont="1" applyFill="1" applyBorder="1" applyProtection="1">
      <protection locked="0"/>
    </xf>
    <xf numFmtId="166" fontId="6" fillId="3" borderId="3" xfId="0" applyNumberFormat="1" applyFont="1" applyFill="1" applyBorder="1" applyProtection="1">
      <protection hidden="1"/>
    </xf>
    <xf numFmtId="14" fontId="52" fillId="3" borderId="0" xfId="0" quotePrefix="1" applyNumberFormat="1" applyFont="1" applyFill="1" applyBorder="1" applyAlignment="1">
      <alignment horizontal="centerContinuous"/>
    </xf>
    <xf numFmtId="0" fontId="90" fillId="0" borderId="0" xfId="0" applyFont="1"/>
    <xf numFmtId="174" fontId="8" fillId="0" borderId="0" xfId="0" applyNumberFormat="1" applyFont="1" applyFill="1" applyProtection="1"/>
    <xf numFmtId="0" fontId="89" fillId="0" borderId="10" xfId="0" applyFont="1" applyBorder="1"/>
    <xf numFmtId="166" fontId="89" fillId="0" borderId="0" xfId="0" applyNumberFormat="1" applyFont="1"/>
    <xf numFmtId="0" fontId="13" fillId="2" borderId="9" xfId="0" applyFont="1" applyFill="1" applyBorder="1"/>
    <xf numFmtId="0" fontId="13" fillId="2" borderId="0" xfId="0" applyFont="1" applyFill="1" applyBorder="1"/>
    <xf numFmtId="166" fontId="13" fillId="2" borderId="0" xfId="0" applyNumberFormat="1" applyFont="1" applyFill="1" applyBorder="1" applyAlignment="1">
      <alignment horizontal="centerContinuous"/>
    </xf>
    <xf numFmtId="166" fontId="13" fillId="2" borderId="0" xfId="0" applyNumberFormat="1" applyFont="1" applyFill="1" applyBorder="1"/>
    <xf numFmtId="0" fontId="81" fillId="2" borderId="9" xfId="0" applyFont="1" applyFill="1" applyBorder="1"/>
    <xf numFmtId="0" fontId="48" fillId="2" borderId="0" xfId="0" applyFont="1" applyFill="1" applyBorder="1"/>
    <xf numFmtId="164" fontId="8" fillId="2" borderId="0" xfId="0" applyNumberFormat="1" applyFont="1" applyFill="1" applyBorder="1"/>
    <xf numFmtId="166" fontId="6" fillId="2" borderId="0" xfId="0" applyNumberFormat="1" applyFont="1" applyFill="1" applyBorder="1"/>
    <xf numFmtId="164" fontId="13" fillId="2" borderId="0" xfId="0" applyNumberFormat="1" applyFont="1" applyFill="1" applyBorder="1"/>
    <xf numFmtId="174" fontId="13" fillId="2" borderId="0" xfId="0" applyNumberFormat="1" applyFont="1" applyFill="1" applyBorder="1"/>
    <xf numFmtId="0" fontId="48" fillId="2" borderId="0" xfId="0" applyFont="1" applyFill="1" applyBorder="1" applyAlignment="1"/>
    <xf numFmtId="0" fontId="14" fillId="2" borderId="0" xfId="0" applyFont="1" applyFill="1" applyBorder="1"/>
    <xf numFmtId="166" fontId="13" fillId="2" borderId="0" xfId="0" applyNumberFormat="1" applyFont="1" applyFill="1" applyBorder="1" applyAlignment="1"/>
    <xf numFmtId="0" fontId="89" fillId="2" borderId="0" xfId="0" applyFont="1" applyFill="1" applyBorder="1"/>
    <xf numFmtId="0" fontId="0" fillId="2" borderId="9" xfId="0" applyFill="1" applyBorder="1"/>
    <xf numFmtId="0" fontId="0" fillId="2" borderId="8" xfId="0" applyFill="1" applyBorder="1"/>
    <xf numFmtId="0" fontId="10" fillId="0" borderId="0" xfId="0" applyFont="1" applyFill="1"/>
    <xf numFmtId="0" fontId="39" fillId="0" borderId="0" xfId="0" quotePrefix="1" applyFont="1" applyFill="1"/>
    <xf numFmtId="0" fontId="10" fillId="0" borderId="0" xfId="0" applyFont="1" applyFill="1" applyProtection="1"/>
    <xf numFmtId="0" fontId="52" fillId="0" borderId="0" xfId="0" applyFont="1" applyFill="1" applyProtection="1">
      <protection locked="0"/>
    </xf>
    <xf numFmtId="0" fontId="10" fillId="0" borderId="9" xfId="0" applyFont="1" applyFill="1" applyBorder="1"/>
    <xf numFmtId="0" fontId="62" fillId="0" borderId="0" xfId="0" quotePrefix="1" applyFont="1" applyFill="1" applyAlignment="1">
      <alignment horizontal="left"/>
    </xf>
    <xf numFmtId="0" fontId="39" fillId="0" borderId="0" xfId="0" applyFont="1" applyFill="1"/>
    <xf numFmtId="0" fontId="10" fillId="0" borderId="0" xfId="0" quotePrefix="1" applyFont="1" applyFill="1" applyAlignment="1">
      <alignment horizontal="left"/>
    </xf>
    <xf numFmtId="0" fontId="62" fillId="0" borderId="0" xfId="0" applyFont="1" applyFill="1" applyAlignment="1">
      <alignment horizontal="left"/>
    </xf>
    <xf numFmtId="166" fontId="8" fillId="0" borderId="0" xfId="0" applyNumberFormat="1" applyFont="1" applyFill="1" applyAlignment="1">
      <alignment horizontal="right"/>
    </xf>
    <xf numFmtId="0" fontId="76" fillId="0" borderId="0" xfId="0" applyFont="1" applyFill="1"/>
    <xf numFmtId="166" fontId="13" fillId="0" borderId="0" xfId="0" applyNumberFormat="1" applyFont="1" applyFill="1"/>
    <xf numFmtId="174" fontId="8" fillId="2" borderId="0" xfId="0" applyNumberFormat="1" applyFont="1" applyFill="1" applyBorder="1"/>
    <xf numFmtId="0" fontId="79" fillId="0" borderId="0" xfId="0" applyFont="1" applyFill="1"/>
    <xf numFmtId="0" fontId="80" fillId="0" borderId="0" xfId="0" applyFont="1" applyFill="1"/>
    <xf numFmtId="166" fontId="76" fillId="0" borderId="0" xfId="0" applyNumberFormat="1" applyFont="1" applyFill="1" applyBorder="1"/>
    <xf numFmtId="7" fontId="8" fillId="0" borderId="0" xfId="0" applyNumberFormat="1" applyFont="1" applyBorder="1"/>
    <xf numFmtId="0" fontId="89" fillId="0" borderId="3" xfId="0" applyFont="1" applyBorder="1" applyAlignment="1">
      <alignment wrapText="1"/>
    </xf>
    <xf numFmtId="0" fontId="89" fillId="0" borderId="0" xfId="0" applyFont="1" applyBorder="1" applyAlignment="1"/>
    <xf numFmtId="167" fontId="8" fillId="0" borderId="11" xfId="0" applyNumberFormat="1" applyFont="1" applyFill="1" applyBorder="1"/>
    <xf numFmtId="0" fontId="89" fillId="0" borderId="0" xfId="0" applyFont="1" applyAlignment="1">
      <alignment wrapText="1"/>
    </xf>
    <xf numFmtId="0" fontId="0" fillId="2" borderId="18" xfId="0" applyFill="1" applyBorder="1"/>
    <xf numFmtId="164" fontId="16" fillId="0" borderId="0" xfId="0" applyNumberFormat="1" applyFont="1"/>
    <xf numFmtId="0" fontId="79" fillId="0" borderId="0" xfId="0" applyFont="1"/>
    <xf numFmtId="0" fontId="16" fillId="0" borderId="0" xfId="0" applyFont="1"/>
    <xf numFmtId="166" fontId="79" fillId="0" borderId="0" xfId="0" applyNumberFormat="1" applyFont="1"/>
    <xf numFmtId="7" fontId="23" fillId="0" borderId="0" xfId="0" applyNumberFormat="1" applyFont="1" applyFill="1"/>
    <xf numFmtId="166" fontId="48" fillId="2" borderId="0" xfId="0" applyNumberFormat="1" applyFont="1" applyFill="1" applyBorder="1"/>
    <xf numFmtId="0" fontId="0" fillId="2" borderId="17" xfId="0" applyFill="1" applyBorder="1"/>
    <xf numFmtId="0" fontId="13" fillId="2" borderId="17" xfId="0" applyFont="1" applyFill="1" applyBorder="1"/>
    <xf numFmtId="166" fontId="8" fillId="2" borderId="0" xfId="0" applyNumberFormat="1" applyFont="1" applyFill="1" applyBorder="1"/>
    <xf numFmtId="0" fontId="14" fillId="2" borderId="3" xfId="0" applyFont="1" applyFill="1" applyBorder="1"/>
    <xf numFmtId="164" fontId="79" fillId="0" borderId="0" xfId="0" applyNumberFormat="1" applyFont="1"/>
    <xf numFmtId="174" fontId="17" fillId="0" borderId="0" xfId="0" applyNumberFormat="1" applyFont="1"/>
    <xf numFmtId="171" fontId="17" fillId="0" borderId="0" xfId="0" applyNumberFormat="1" applyFont="1"/>
    <xf numFmtId="166" fontId="48" fillId="2" borderId="0" xfId="0" applyNumberFormat="1" applyFont="1" applyFill="1" applyBorder="1" applyAlignment="1">
      <alignment horizontal="left"/>
    </xf>
    <xf numFmtId="0" fontId="0" fillId="2" borderId="12" xfId="0" applyFill="1" applyBorder="1"/>
    <xf numFmtId="166" fontId="48" fillId="2" borderId="17" xfId="0" applyNumberFormat="1" applyFont="1" applyFill="1" applyBorder="1" applyAlignment="1">
      <alignment horizontal="left"/>
    </xf>
    <xf numFmtId="7" fontId="91" fillId="0" borderId="0" xfId="0" applyNumberFormat="1" applyFont="1"/>
    <xf numFmtId="167" fontId="17" fillId="0" borderId="3" xfId="0" applyNumberFormat="1" applyFont="1" applyFill="1" applyBorder="1"/>
    <xf numFmtId="178" fontId="9" fillId="0" borderId="5" xfId="0" applyNumberFormat="1" applyFont="1" applyBorder="1"/>
    <xf numFmtId="174" fontId="89" fillId="0" borderId="0" xfId="0" applyNumberFormat="1" applyFont="1" applyFill="1"/>
    <xf numFmtId="0" fontId="92" fillId="0" borderId="0" xfId="0" applyFont="1"/>
    <xf numFmtId="0" fontId="92" fillId="0" borderId="0" xfId="0" applyFont="1" applyFill="1"/>
    <xf numFmtId="166" fontId="92" fillId="0" borderId="0" xfId="0" applyNumberFormat="1" applyFont="1" applyBorder="1"/>
    <xf numFmtId="0" fontId="89" fillId="0" borderId="0" xfId="0" applyFont="1" applyBorder="1"/>
    <xf numFmtId="166" fontId="17" fillId="0" borderId="0" xfId="0" applyNumberFormat="1" applyFont="1" applyFill="1" applyBorder="1"/>
    <xf numFmtId="167" fontId="11" fillId="0" borderId="0" xfId="0" applyNumberFormat="1" applyFont="1" applyFill="1" applyBorder="1" applyAlignment="1">
      <alignment horizontal="right"/>
    </xf>
    <xf numFmtId="166" fontId="85" fillId="0" borderId="0" xfId="0" applyNumberFormat="1" applyFont="1" applyFill="1"/>
    <xf numFmtId="166" fontId="8" fillId="2" borderId="17" xfId="0" applyNumberFormat="1" applyFont="1" applyFill="1" applyBorder="1"/>
    <xf numFmtId="166" fontId="16" fillId="2" borderId="3" xfId="0" applyNumberFormat="1" applyFont="1" applyFill="1" applyBorder="1" applyAlignment="1">
      <alignment horizontal="right"/>
    </xf>
    <xf numFmtId="167" fontId="16" fillId="3" borderId="0" xfId="0" applyNumberFormat="1" applyFont="1" applyFill="1" applyProtection="1"/>
    <xf numFmtId="0" fontId="81" fillId="2" borderId="17" xfId="0" applyFont="1" applyFill="1" applyBorder="1"/>
    <xf numFmtId="0" fontId="81" fillId="2" borderId="0" xfId="0" applyFont="1" applyFill="1" applyBorder="1"/>
    <xf numFmtId="0" fontId="93" fillId="0" borderId="0" xfId="3"/>
    <xf numFmtId="41" fontId="93" fillId="0" borderId="0" xfId="3" applyNumberFormat="1"/>
    <xf numFmtId="183" fontId="93" fillId="0" borderId="0" xfId="3" applyNumberFormat="1"/>
    <xf numFmtId="0" fontId="93" fillId="4" borderId="0" xfId="3" applyFill="1"/>
    <xf numFmtId="41" fontId="93" fillId="4" borderId="0" xfId="3" applyNumberFormat="1" applyFill="1"/>
    <xf numFmtId="0" fontId="93" fillId="5" borderId="0" xfId="3" applyFill="1"/>
    <xf numFmtId="0" fontId="94" fillId="0" borderId="0" xfId="3" applyFont="1" applyBorder="1"/>
    <xf numFmtId="0" fontId="94" fillId="5" borderId="0" xfId="3" applyFont="1" applyFill="1" applyBorder="1"/>
    <xf numFmtId="41" fontId="94" fillId="0" borderId="0" xfId="3" applyNumberFormat="1" applyFont="1" applyBorder="1"/>
    <xf numFmtId="0" fontId="94" fillId="0" borderId="9" xfId="3" applyFont="1" applyBorder="1"/>
    <xf numFmtId="0" fontId="94" fillId="5" borderId="9" xfId="3" applyFont="1" applyFill="1" applyBorder="1"/>
    <xf numFmtId="41" fontId="94" fillId="0" borderId="9" xfId="3" applyNumberFormat="1" applyFont="1" applyBorder="1"/>
    <xf numFmtId="0" fontId="93" fillId="0" borderId="0" xfId="3" applyFont="1"/>
    <xf numFmtId="0" fontId="93" fillId="6" borderId="0" xfId="3" applyFill="1"/>
    <xf numFmtId="0" fontId="93" fillId="7" borderId="0" xfId="3" applyFill="1"/>
    <xf numFmtId="0" fontId="93" fillId="8" borderId="0" xfId="3" applyFill="1"/>
    <xf numFmtId="0" fontId="93" fillId="8" borderId="0" xfId="3" applyFont="1" applyFill="1"/>
    <xf numFmtId="0" fontId="94" fillId="9" borderId="0" xfId="3" applyFont="1" applyFill="1"/>
    <xf numFmtId="41" fontId="94" fillId="0" borderId="0" xfId="3" applyNumberFormat="1" applyFont="1"/>
    <xf numFmtId="0" fontId="94" fillId="0" borderId="0" xfId="3" applyFont="1"/>
    <xf numFmtId="0" fontId="94" fillId="8" borderId="0" xfId="3" applyFont="1" applyFill="1"/>
    <xf numFmtId="41" fontId="93" fillId="5" borderId="0" xfId="3" applyNumberFormat="1" applyFill="1"/>
    <xf numFmtId="41" fontId="93" fillId="0" borderId="0" xfId="3" applyNumberFormat="1" applyBorder="1"/>
    <xf numFmtId="14" fontId="93" fillId="5" borderId="0" xfId="3" applyNumberFormat="1" applyFont="1" applyFill="1"/>
    <xf numFmtId="14" fontId="93" fillId="0" borderId="0" xfId="3" applyNumberFormat="1"/>
    <xf numFmtId="0" fontId="93" fillId="10" borderId="0" xfId="3" applyFill="1"/>
    <xf numFmtId="49" fontId="93" fillId="0" borderId="0" xfId="3" applyNumberFormat="1"/>
    <xf numFmtId="0" fontId="14" fillId="10" borderId="26" xfId="13" applyFont="1" applyFill="1" applyBorder="1"/>
    <xf numFmtId="0" fontId="14" fillId="9" borderId="0" xfId="13" applyFill="1"/>
    <xf numFmtId="184" fontId="14" fillId="10" borderId="0" xfId="13" applyNumberFormat="1" applyFill="1"/>
    <xf numFmtId="0" fontId="9" fillId="9" borderId="26" xfId="13" applyFont="1" applyFill="1" applyBorder="1"/>
    <xf numFmtId="0" fontId="93" fillId="11" borderId="0" xfId="3" applyFill="1"/>
    <xf numFmtId="49" fontId="93" fillId="11" borderId="0" xfId="3" applyNumberFormat="1" applyFill="1"/>
    <xf numFmtId="0" fontId="93" fillId="12" borderId="0" xfId="3" applyFill="1"/>
    <xf numFmtId="49" fontId="93" fillId="12" borderId="0" xfId="3" applyNumberFormat="1" applyFill="1"/>
    <xf numFmtId="43" fontId="93" fillId="9" borderId="0" xfId="3" applyNumberFormat="1" applyFill="1"/>
    <xf numFmtId="0" fontId="9" fillId="10" borderId="0" xfId="13" applyFont="1" applyFill="1" applyBorder="1"/>
    <xf numFmtId="49" fontId="94" fillId="0" borderId="0" xfId="3" applyNumberFormat="1" applyFont="1" applyBorder="1"/>
    <xf numFmtId="41" fontId="9" fillId="9" borderId="26" xfId="13" applyNumberFormat="1" applyFont="1" applyFill="1" applyBorder="1"/>
    <xf numFmtId="49" fontId="94" fillId="0" borderId="9" xfId="3" applyNumberFormat="1" applyFont="1" applyBorder="1"/>
    <xf numFmtId="2" fontId="14" fillId="9" borderId="26" xfId="13" applyNumberFormat="1" applyFont="1" applyFill="1" applyBorder="1"/>
    <xf numFmtId="2" fontId="14" fillId="10" borderId="26" xfId="13" applyNumberFormat="1" applyFont="1" applyFill="1" applyBorder="1"/>
    <xf numFmtId="43" fontId="14" fillId="10" borderId="26" xfId="13" applyNumberFormat="1" applyFont="1" applyFill="1" applyBorder="1"/>
    <xf numFmtId="41" fontId="14" fillId="10" borderId="26" xfId="13" applyNumberFormat="1" applyFont="1" applyFill="1" applyBorder="1"/>
    <xf numFmtId="184" fontId="9" fillId="10" borderId="27" xfId="13" applyNumberFormat="1" applyFont="1" applyFill="1" applyBorder="1"/>
    <xf numFmtId="41" fontId="94" fillId="9" borderId="9" xfId="3" applyNumberFormat="1" applyFont="1" applyFill="1" applyBorder="1"/>
    <xf numFmtId="41" fontId="14" fillId="9" borderId="26" xfId="13" applyNumberFormat="1" applyFont="1" applyFill="1" applyBorder="1"/>
    <xf numFmtId="49" fontId="93" fillId="0" borderId="0" xfId="3" applyNumberFormat="1" applyFont="1"/>
    <xf numFmtId="0" fontId="9" fillId="10" borderId="28" xfId="13" applyFont="1" applyFill="1" applyBorder="1"/>
    <xf numFmtId="41" fontId="9" fillId="10" borderId="27" xfId="13" applyNumberFormat="1" applyFont="1" applyFill="1" applyBorder="1"/>
    <xf numFmtId="0" fontId="14" fillId="10" borderId="29" xfId="13" applyFont="1" applyFill="1" applyBorder="1"/>
    <xf numFmtId="0" fontId="93" fillId="10" borderId="0" xfId="3" applyFont="1" applyFill="1"/>
    <xf numFmtId="0" fontId="14" fillId="0" borderId="0" xfId="23" applyBorder="1" applyAlignment="1"/>
    <xf numFmtId="41" fontId="14" fillId="0" borderId="0" xfId="23" applyNumberFormat="1" applyBorder="1" applyAlignment="1"/>
    <xf numFmtId="2" fontId="14" fillId="13" borderId="30" xfId="23" applyNumberFormat="1" applyFill="1" applyBorder="1" applyAlignment="1">
      <alignment horizontal="center"/>
    </xf>
    <xf numFmtId="2" fontId="14" fillId="13" borderId="7" xfId="23" applyNumberFormat="1" applyFill="1" applyBorder="1" applyAlignment="1">
      <alignment horizontal="center"/>
    </xf>
    <xf numFmtId="0" fontId="14" fillId="13" borderId="32" xfId="23" applyFill="1" applyBorder="1" applyAlignment="1">
      <alignment horizontal="center"/>
    </xf>
    <xf numFmtId="0" fontId="14" fillId="13" borderId="0" xfId="23" applyFill="1" applyBorder="1" applyAlignment="1">
      <alignment horizontal="center"/>
    </xf>
    <xf numFmtId="2" fontId="14" fillId="13" borderId="32" xfId="23" applyNumberFormat="1" applyFill="1" applyBorder="1" applyAlignment="1">
      <alignment horizontal="center"/>
    </xf>
    <xf numFmtId="2" fontId="14" fillId="13" borderId="0" xfId="23" applyNumberFormat="1" applyFill="1" applyBorder="1" applyAlignment="1">
      <alignment horizontal="center"/>
    </xf>
    <xf numFmtId="2" fontId="14" fillId="15" borderId="32" xfId="23" applyNumberFormat="1" applyFill="1" applyBorder="1" applyAlignment="1">
      <alignment horizontal="center"/>
    </xf>
    <xf numFmtId="2" fontId="14" fillId="15" borderId="0" xfId="23" applyNumberFormat="1" applyFill="1" applyBorder="1" applyAlignment="1">
      <alignment horizontal="center"/>
    </xf>
    <xf numFmtId="2" fontId="14" fillId="10" borderId="0" xfId="23" applyNumberFormat="1" applyFill="1" applyBorder="1" applyAlignment="1">
      <alignment horizontal="center"/>
    </xf>
    <xf numFmtId="0" fontId="9" fillId="0" borderId="33" xfId="23" applyFont="1" applyBorder="1" applyAlignment="1">
      <alignment horizontal="center" vertical="center"/>
    </xf>
    <xf numFmtId="1" fontId="14" fillId="15" borderId="34" xfId="23" applyNumberFormat="1" applyFont="1" applyFill="1" applyBorder="1" applyAlignment="1">
      <alignment horizontal="center"/>
    </xf>
    <xf numFmtId="1" fontId="14" fillId="15" borderId="9" xfId="23" applyNumberFormat="1" applyFont="1" applyFill="1" applyBorder="1" applyAlignment="1">
      <alignment horizontal="center"/>
    </xf>
    <xf numFmtId="1" fontId="14" fillId="10" borderId="9" xfId="23" applyNumberFormat="1" applyFont="1" applyFill="1" applyBorder="1" applyAlignment="1">
      <alignment horizontal="center"/>
    </xf>
    <xf numFmtId="0" fontId="9" fillId="0" borderId="35" xfId="23" applyFont="1" applyBorder="1" applyAlignment="1">
      <alignment horizontal="center"/>
    </xf>
    <xf numFmtId="10" fontId="96" fillId="0" borderId="36" xfId="23" applyNumberFormat="1" applyFont="1" applyBorder="1" applyAlignment="1">
      <alignment horizontal="right" wrapText="1"/>
    </xf>
    <xf numFmtId="10" fontId="97" fillId="0" borderId="36" xfId="23" applyNumberFormat="1" applyFont="1" applyBorder="1" applyAlignment="1">
      <alignment horizontal="right" wrapText="1"/>
    </xf>
    <xf numFmtId="0" fontId="14" fillId="0" borderId="36" xfId="23" applyFont="1" applyBorder="1" applyAlignment="1">
      <alignment wrapText="1"/>
    </xf>
    <xf numFmtId="0" fontId="9" fillId="15" borderId="37" xfId="23" applyFont="1" applyFill="1" applyBorder="1" applyAlignment="1">
      <alignment horizontal="center"/>
    </xf>
    <xf numFmtId="0" fontId="9" fillId="15" borderId="4" xfId="23" applyFont="1" applyFill="1" applyBorder="1" applyAlignment="1">
      <alignment horizontal="center"/>
    </xf>
    <xf numFmtId="0" fontId="9" fillId="10" borderId="4" xfId="23" applyFont="1" applyFill="1" applyBorder="1" applyAlignment="1">
      <alignment horizontal="center"/>
    </xf>
    <xf numFmtId="0" fontId="9" fillId="0" borderId="38" xfId="23" applyFont="1" applyBorder="1" applyAlignment="1">
      <alignment horizontal="center"/>
    </xf>
    <xf numFmtId="0" fontId="14" fillId="0" borderId="36" xfId="23" applyFont="1" applyBorder="1" applyAlignment="1">
      <alignment horizontal="right" wrapText="1"/>
    </xf>
    <xf numFmtId="0" fontId="14" fillId="0" borderId="33" xfId="23" applyBorder="1" applyAlignment="1"/>
    <xf numFmtId="0" fontId="14" fillId="0" borderId="40" xfId="23" applyBorder="1" applyAlignment="1"/>
    <xf numFmtId="0" fontId="9" fillId="0" borderId="0" xfId="23" applyFont="1" applyAlignment="1">
      <alignment horizontal="right" vertical="center" wrapText="1"/>
    </xf>
    <xf numFmtId="0" fontId="9" fillId="0" borderId="0" xfId="23" applyFont="1" applyAlignment="1">
      <alignment horizontal="center" vertical="center" wrapText="1"/>
    </xf>
    <xf numFmtId="0" fontId="14" fillId="0" borderId="0" xfId="23" applyAlignment="1"/>
    <xf numFmtId="0" fontId="98" fillId="0" borderId="41" xfId="23" applyFont="1" applyBorder="1" applyAlignment="1">
      <alignment horizontal="left" wrapText="1"/>
    </xf>
    <xf numFmtId="41" fontId="14" fillId="0" borderId="42" xfId="23" applyNumberFormat="1" applyFill="1" applyBorder="1" applyAlignment="1"/>
    <xf numFmtId="41" fontId="14" fillId="0" borderId="43" xfId="23" applyNumberFormat="1" applyFill="1" applyBorder="1" applyAlignment="1"/>
    <xf numFmtId="0" fontId="14" fillId="0" borderId="44" xfId="23" applyFill="1" applyBorder="1" applyAlignment="1"/>
    <xf numFmtId="41" fontId="14" fillId="0" borderId="32" xfId="23" applyNumberFormat="1" applyFill="1" applyBorder="1" applyAlignment="1"/>
    <xf numFmtId="41" fontId="14" fillId="0" borderId="3" xfId="23" applyNumberFormat="1" applyFill="1" applyBorder="1" applyAlignment="1"/>
    <xf numFmtId="0" fontId="14" fillId="0" borderId="45" xfId="23" applyFill="1" applyBorder="1" applyAlignment="1"/>
    <xf numFmtId="0" fontId="14" fillId="0" borderId="0" xfId="23" applyFont="1" applyBorder="1" applyAlignment="1"/>
    <xf numFmtId="0" fontId="99" fillId="0" borderId="46" xfId="23" applyFont="1" applyBorder="1" applyAlignment="1"/>
    <xf numFmtId="0" fontId="99" fillId="0" borderId="47" xfId="23" applyFont="1" applyBorder="1" applyAlignment="1"/>
    <xf numFmtId="41" fontId="99" fillId="0" borderId="43" xfId="23" applyNumberFormat="1" applyFont="1" applyFill="1" applyBorder="1" applyAlignment="1"/>
    <xf numFmtId="0" fontId="99" fillId="0" borderId="48" xfId="23" applyFont="1" applyBorder="1" applyAlignment="1"/>
    <xf numFmtId="0" fontId="14" fillId="0" borderId="0" xfId="23" applyFont="1" applyBorder="1" applyAlignment="1">
      <alignment horizontal="center"/>
    </xf>
    <xf numFmtId="0" fontId="99" fillId="0" borderId="49" xfId="23" applyFont="1" applyBorder="1" applyAlignment="1"/>
    <xf numFmtId="41" fontId="99" fillId="0" borderId="50" xfId="23" applyNumberFormat="1" applyFont="1" applyFill="1" applyBorder="1" applyAlignment="1"/>
    <xf numFmtId="0" fontId="99" fillId="0" borderId="23" xfId="23" applyFont="1" applyBorder="1" applyAlignment="1"/>
    <xf numFmtId="0" fontId="99" fillId="0" borderId="51" xfId="23" applyFont="1" applyFill="1" applyBorder="1" applyAlignment="1"/>
    <xf numFmtId="0" fontId="99" fillId="0" borderId="52" xfId="23" applyFont="1" applyBorder="1" applyAlignment="1"/>
    <xf numFmtId="0" fontId="14" fillId="0" borderId="51" xfId="23" applyFill="1" applyBorder="1" applyAlignment="1"/>
    <xf numFmtId="41" fontId="14" fillId="0" borderId="53" xfId="23" applyNumberFormat="1" applyFill="1" applyBorder="1" applyAlignment="1"/>
    <xf numFmtId="41" fontId="14" fillId="0" borderId="50" xfId="23" applyNumberFormat="1" applyFill="1" applyBorder="1" applyAlignment="1"/>
    <xf numFmtId="0" fontId="14" fillId="0" borderId="54" xfId="23" applyFill="1" applyBorder="1" applyAlignment="1"/>
    <xf numFmtId="0" fontId="14" fillId="0" borderId="55" xfId="23" applyFont="1" applyFill="1" applyBorder="1" applyAlignment="1">
      <alignment horizontal="center"/>
    </xf>
    <xf numFmtId="0" fontId="14" fillId="0" borderId="56" xfId="23" applyFont="1" applyFill="1" applyBorder="1" applyAlignment="1">
      <alignment horizontal="center"/>
    </xf>
    <xf numFmtId="41" fontId="14" fillId="0" borderId="51" xfId="23" applyNumberFormat="1" applyFill="1" applyBorder="1" applyAlignment="1"/>
    <xf numFmtId="41" fontId="99" fillId="0" borderId="3" xfId="23" applyNumberFormat="1" applyFont="1" applyFill="1" applyBorder="1" applyAlignment="1"/>
    <xf numFmtId="41" fontId="99" fillId="0" borderId="24" xfId="23" applyNumberFormat="1" applyFont="1" applyFill="1" applyBorder="1" applyAlignment="1"/>
    <xf numFmtId="41" fontId="99" fillId="0" borderId="0" xfId="23" applyNumberFormat="1" applyFont="1" applyFill="1" applyBorder="1" applyAlignment="1"/>
    <xf numFmtId="0" fontId="99" fillId="0" borderId="45" xfId="23" applyFont="1" applyFill="1" applyBorder="1" applyAlignment="1"/>
    <xf numFmtId="0" fontId="14" fillId="0" borderId="57" xfId="23" applyFont="1" applyBorder="1" applyAlignment="1"/>
    <xf numFmtId="0" fontId="14" fillId="0" borderId="0" xfId="23" applyFont="1" applyFill="1" applyBorder="1" applyAlignment="1">
      <alignment horizontal="center"/>
    </xf>
    <xf numFmtId="0" fontId="14" fillId="0" borderId="57" xfId="23" applyBorder="1" applyAlignment="1"/>
    <xf numFmtId="0" fontId="14" fillId="0" borderId="58" xfId="23" applyFont="1" applyFill="1" applyBorder="1" applyAlignment="1">
      <alignment horizontal="center"/>
    </xf>
    <xf numFmtId="41" fontId="14" fillId="0" borderId="45" xfId="23" applyNumberFormat="1" applyBorder="1" applyAlignment="1"/>
    <xf numFmtId="41" fontId="99" fillId="0" borderId="23" xfId="23" applyNumberFormat="1" applyFont="1" applyFill="1" applyBorder="1" applyAlignment="1"/>
    <xf numFmtId="185" fontId="99" fillId="0" borderId="3" xfId="23" applyNumberFormat="1" applyFont="1" applyFill="1" applyBorder="1" applyAlignment="1"/>
    <xf numFmtId="185" fontId="99" fillId="0" borderId="23" xfId="23" applyNumberFormat="1" applyFont="1" applyFill="1" applyBorder="1" applyAlignment="1"/>
    <xf numFmtId="0" fontId="14" fillId="0" borderId="45" xfId="23" applyFont="1" applyFill="1" applyBorder="1" applyAlignment="1"/>
    <xf numFmtId="41" fontId="99" fillId="0" borderId="11" xfId="23" applyNumberFormat="1" applyFont="1" applyFill="1" applyBorder="1" applyAlignment="1"/>
    <xf numFmtId="41" fontId="99" fillId="0" borderId="22" xfId="23" applyNumberFormat="1" applyFont="1" applyFill="1" applyBorder="1" applyAlignment="1"/>
    <xf numFmtId="0" fontId="99" fillId="0" borderId="59" xfId="23" applyFont="1" applyFill="1" applyBorder="1" applyAlignment="1"/>
    <xf numFmtId="0" fontId="14" fillId="0" borderId="59" xfId="23" applyFill="1" applyBorder="1" applyAlignment="1"/>
    <xf numFmtId="41" fontId="14" fillId="0" borderId="34" xfId="23" applyNumberFormat="1" applyFill="1" applyBorder="1" applyAlignment="1"/>
    <xf numFmtId="41" fontId="14" fillId="0" borderId="11" xfId="23" applyNumberFormat="1" applyFill="1" applyBorder="1" applyAlignment="1"/>
    <xf numFmtId="0" fontId="14" fillId="0" borderId="60" xfId="23" applyFill="1" applyBorder="1" applyAlignment="1"/>
    <xf numFmtId="0" fontId="14" fillId="0" borderId="9" xfId="23" applyFont="1" applyFill="1" applyBorder="1" applyAlignment="1">
      <alignment horizontal="center"/>
    </xf>
    <xf numFmtId="0" fontId="14" fillId="0" borderId="61" xfId="23" applyFont="1" applyFill="1" applyBorder="1" applyAlignment="1">
      <alignment horizontal="center"/>
    </xf>
    <xf numFmtId="41" fontId="14" fillId="0" borderId="59" xfId="23" applyNumberFormat="1" applyFill="1" applyBorder="1" applyAlignment="1"/>
    <xf numFmtId="41" fontId="99" fillId="0" borderId="12" xfId="23" applyNumberFormat="1" applyFont="1" applyFill="1" applyBorder="1" applyAlignment="1"/>
    <xf numFmtId="41" fontId="99" fillId="0" borderId="16" xfId="23" applyNumberFormat="1" applyFont="1" applyFill="1" applyBorder="1" applyAlignment="1"/>
    <xf numFmtId="9" fontId="14" fillId="0" borderId="58" xfId="23" applyNumberFormat="1" applyFont="1" applyFill="1" applyBorder="1" applyAlignment="1">
      <alignment horizontal="center"/>
    </xf>
    <xf numFmtId="9" fontId="14" fillId="0" borderId="0" xfId="23" applyNumberFormat="1" applyFont="1" applyFill="1" applyBorder="1" applyAlignment="1">
      <alignment horizontal="center"/>
    </xf>
    <xf numFmtId="41" fontId="99" fillId="0" borderId="62" xfId="23" applyNumberFormat="1" applyFont="1" applyFill="1" applyBorder="1" applyAlignment="1"/>
    <xf numFmtId="182" fontId="14" fillId="0" borderId="0" xfId="23" applyNumberFormat="1" applyFont="1" applyFill="1" applyBorder="1" applyAlignment="1">
      <alignment horizontal="center"/>
    </xf>
    <xf numFmtId="41" fontId="99" fillId="0" borderId="63" xfId="23" applyNumberFormat="1" applyFont="1" applyFill="1" applyBorder="1" applyAlignment="1"/>
    <xf numFmtId="41" fontId="99" fillId="0" borderId="64" xfId="23" applyNumberFormat="1" applyFont="1" applyFill="1" applyBorder="1" applyAlignment="1"/>
    <xf numFmtId="0" fontId="99" fillId="0" borderId="65" xfId="23" applyFont="1" applyFill="1" applyBorder="1" applyAlignment="1"/>
    <xf numFmtId="0" fontId="14" fillId="0" borderId="65" xfId="23" applyFill="1" applyBorder="1" applyAlignment="1"/>
    <xf numFmtId="41" fontId="14" fillId="0" borderId="39" xfId="23" applyNumberFormat="1" applyFill="1" applyBorder="1" applyAlignment="1"/>
    <xf numFmtId="41" fontId="14" fillId="0" borderId="63" xfId="23" applyNumberFormat="1" applyFill="1" applyBorder="1" applyAlignment="1"/>
    <xf numFmtId="0" fontId="14" fillId="0" borderId="66" xfId="23" applyFont="1" applyFill="1" applyBorder="1" applyAlignment="1"/>
    <xf numFmtId="9" fontId="14" fillId="0" borderId="1" xfId="23" applyNumberFormat="1" applyFont="1" applyFill="1" applyBorder="1" applyAlignment="1">
      <alignment horizontal="center"/>
    </xf>
    <xf numFmtId="9" fontId="14" fillId="0" borderId="67" xfId="23" applyNumberFormat="1" applyFont="1" applyFill="1" applyBorder="1" applyAlignment="1">
      <alignment horizontal="center"/>
    </xf>
    <xf numFmtId="41" fontId="14" fillId="0" borderId="65" xfId="23" applyNumberFormat="1" applyFill="1" applyBorder="1" applyAlignment="1"/>
    <xf numFmtId="0" fontId="14" fillId="0" borderId="65" xfId="23" applyFont="1" applyFill="1" applyBorder="1" applyAlignment="1"/>
    <xf numFmtId="41" fontId="99" fillId="0" borderId="0" xfId="23" applyNumberFormat="1" applyFont="1" applyBorder="1" applyAlignment="1">
      <alignment horizontal="centerContinuous"/>
    </xf>
    <xf numFmtId="0" fontId="99" fillId="0" borderId="0" xfId="23" applyFont="1" applyBorder="1" applyAlignment="1"/>
    <xf numFmtId="0" fontId="100" fillId="0" borderId="0" xfId="23" applyFont="1" applyBorder="1" applyAlignment="1">
      <alignment horizontal="centerContinuous"/>
    </xf>
    <xf numFmtId="0" fontId="9" fillId="0" borderId="0" xfId="23" applyFont="1" applyBorder="1" applyAlignment="1">
      <alignment horizontal="centerContinuous"/>
    </xf>
    <xf numFmtId="41" fontId="14" fillId="0" borderId="0" xfId="23" applyNumberFormat="1" applyFont="1" applyBorder="1" applyAlignment="1">
      <alignment horizontal="centerContinuous"/>
    </xf>
    <xf numFmtId="0" fontId="14" fillId="0" borderId="0" xfId="23" applyFont="1" applyBorder="1" applyAlignment="1">
      <alignment horizontal="centerContinuous"/>
    </xf>
    <xf numFmtId="41" fontId="99" fillId="0" borderId="0" xfId="23" applyNumberFormat="1" applyFont="1" applyBorder="1" applyAlignment="1"/>
    <xf numFmtId="2" fontId="101" fillId="13" borderId="30" xfId="23" applyNumberFormat="1" applyFont="1" applyFill="1" applyBorder="1" applyAlignment="1">
      <alignment horizontal="center"/>
    </xf>
    <xf numFmtId="0" fontId="101" fillId="13" borderId="68" xfId="23" applyFont="1" applyFill="1" applyBorder="1" applyAlignment="1">
      <alignment horizontal="centerContinuous" vertical="center" wrapText="1"/>
    </xf>
    <xf numFmtId="41" fontId="99" fillId="0" borderId="53" xfId="23" applyNumberFormat="1" applyFont="1" applyFill="1" applyBorder="1" applyAlignment="1"/>
    <xf numFmtId="41" fontId="99" fillId="0" borderId="56" xfId="23" applyNumberFormat="1" applyFont="1" applyFill="1" applyBorder="1" applyAlignment="1"/>
    <xf numFmtId="41" fontId="14" fillId="0" borderId="56" xfId="23" applyNumberFormat="1" applyFill="1" applyBorder="1" applyAlignment="1"/>
    <xf numFmtId="0" fontId="14" fillId="0" borderId="53" xfId="23" applyFill="1" applyBorder="1" applyAlignment="1"/>
    <xf numFmtId="0" fontId="14" fillId="0" borderId="55" xfId="23" applyFill="1" applyBorder="1" applyAlignment="1"/>
    <xf numFmtId="41" fontId="14" fillId="0" borderId="55" xfId="23" applyNumberFormat="1" applyFill="1" applyBorder="1" applyAlignment="1"/>
    <xf numFmtId="0" fontId="101" fillId="13" borderId="69" xfId="23" applyFont="1" applyFill="1" applyBorder="1" applyAlignment="1">
      <alignment horizontal="centerContinuous" vertical="center" wrapText="1"/>
    </xf>
    <xf numFmtId="0" fontId="101" fillId="13" borderId="70" xfId="23" applyFont="1" applyFill="1" applyBorder="1" applyAlignment="1">
      <alignment horizontal="centerContinuous" vertical="center" wrapText="1"/>
    </xf>
    <xf numFmtId="41" fontId="99" fillId="0" borderId="58" xfId="23" applyNumberFormat="1" applyFont="1" applyBorder="1" applyAlignment="1"/>
    <xf numFmtId="41" fontId="99" fillId="0" borderId="3" xfId="23" applyNumberFormat="1" applyFont="1" applyBorder="1" applyAlignment="1"/>
    <xf numFmtId="41" fontId="14" fillId="0" borderId="58" xfId="23" applyNumberFormat="1" applyBorder="1" applyAlignment="1"/>
    <xf numFmtId="0" fontId="14" fillId="0" borderId="0" xfId="23" applyFont="1" applyFill="1" applyBorder="1" applyAlignment="1"/>
    <xf numFmtId="9" fontId="14" fillId="0" borderId="58" xfId="23" applyNumberFormat="1" applyBorder="1" applyAlignment="1">
      <alignment horizontal="center"/>
    </xf>
    <xf numFmtId="0" fontId="14" fillId="0" borderId="0" xfId="23" applyFill="1" applyBorder="1" applyAlignment="1"/>
    <xf numFmtId="41" fontId="14" fillId="0" borderId="0" xfId="23" applyNumberFormat="1" applyFill="1" applyBorder="1" applyAlignment="1"/>
    <xf numFmtId="0" fontId="101" fillId="13" borderId="71" xfId="23" applyFont="1" applyFill="1" applyBorder="1" applyAlignment="1">
      <alignment horizontal="centerContinuous" vertical="center" wrapText="1"/>
    </xf>
    <xf numFmtId="0" fontId="101" fillId="13" borderId="72" xfId="23" applyFont="1" applyFill="1" applyBorder="1" applyAlignment="1">
      <alignment horizontal="centerContinuous" vertical="center" wrapText="1"/>
    </xf>
    <xf numFmtId="184" fontId="99" fillId="0" borderId="58" xfId="23" applyNumberFormat="1" applyFont="1" applyFill="1" applyBorder="1" applyAlignment="1"/>
    <xf numFmtId="184" fontId="99" fillId="0" borderId="3" xfId="23" applyNumberFormat="1" applyFont="1" applyFill="1" applyBorder="1" applyAlignment="1"/>
    <xf numFmtId="184" fontId="99" fillId="0" borderId="23" xfId="23" applyNumberFormat="1" applyFont="1" applyBorder="1" applyAlignment="1"/>
    <xf numFmtId="41" fontId="14" fillId="0" borderId="58" xfId="23" applyNumberFormat="1" applyFill="1" applyBorder="1" applyAlignment="1"/>
    <xf numFmtId="2" fontId="103" fillId="15" borderId="34" xfId="23" applyNumberFormat="1" applyFont="1" applyFill="1" applyBorder="1" applyAlignment="1">
      <alignment horizontal="center"/>
    </xf>
    <xf numFmtId="2" fontId="103" fillId="15" borderId="35" xfId="23" applyNumberFormat="1" applyFont="1" applyFill="1" applyBorder="1" applyAlignment="1">
      <alignment horizontal="center"/>
    </xf>
    <xf numFmtId="2" fontId="14" fillId="10" borderId="9" xfId="23" applyNumberFormat="1" applyFill="1" applyBorder="1" applyAlignment="1">
      <alignment horizontal="center"/>
    </xf>
    <xf numFmtId="0" fontId="9" fillId="0" borderId="35" xfId="23" applyFont="1" applyBorder="1" applyAlignment="1">
      <alignment horizontal="center" vertical="center"/>
    </xf>
    <xf numFmtId="0" fontId="9" fillId="15" borderId="38" xfId="23" applyFont="1" applyFill="1" applyBorder="1" applyAlignment="1">
      <alignment horizontal="center"/>
    </xf>
    <xf numFmtId="41" fontId="99" fillId="0" borderId="61" xfId="23" applyNumberFormat="1" applyFont="1" applyFill="1" applyBorder="1" applyAlignment="1"/>
    <xf numFmtId="41" fontId="14" fillId="0" borderId="61" xfId="23" applyNumberFormat="1" applyFill="1" applyBorder="1" applyAlignment="1"/>
    <xf numFmtId="0" fontId="14" fillId="0" borderId="34" xfId="23" applyFill="1" applyBorder="1" applyAlignment="1"/>
    <xf numFmtId="0" fontId="14" fillId="0" borderId="9" xfId="23" applyFill="1" applyBorder="1" applyAlignment="1"/>
    <xf numFmtId="41" fontId="14" fillId="0" borderId="9" xfId="23" applyNumberFormat="1" applyFill="1" applyBorder="1" applyAlignment="1"/>
    <xf numFmtId="0" fontId="14" fillId="0" borderId="32" xfId="23" applyFill="1" applyBorder="1" applyAlignment="1"/>
    <xf numFmtId="9" fontId="14" fillId="0" borderId="58" xfId="23" applyNumberFormat="1" applyFont="1" applyBorder="1" applyAlignment="1">
      <alignment horizontal="center"/>
    </xf>
    <xf numFmtId="41" fontId="99" fillId="0" borderId="35" xfId="23" applyNumberFormat="1" applyFont="1" applyFill="1" applyBorder="1" applyAlignment="1"/>
    <xf numFmtId="0" fontId="101" fillId="13" borderId="73" xfId="23" applyFont="1" applyFill="1" applyBorder="1" applyAlignment="1">
      <alignment horizontal="center" vertical="center" wrapText="1"/>
    </xf>
    <xf numFmtId="0" fontId="101" fillId="13" borderId="68" xfId="23" applyFont="1" applyFill="1" applyBorder="1" applyAlignment="1">
      <alignment horizontal="center" vertical="center" wrapText="1"/>
    </xf>
    <xf numFmtId="0" fontId="101" fillId="13" borderId="74" xfId="23" applyFont="1" applyFill="1" applyBorder="1" applyAlignment="1">
      <alignment horizontal="center" vertical="center" wrapText="1"/>
    </xf>
    <xf numFmtId="0" fontId="101" fillId="13" borderId="69" xfId="23" applyFont="1" applyFill="1" applyBorder="1" applyAlignment="1">
      <alignment horizontal="center" vertical="center" wrapText="1"/>
    </xf>
    <xf numFmtId="0" fontId="101" fillId="13" borderId="70" xfId="23" applyFont="1" applyFill="1" applyBorder="1" applyAlignment="1">
      <alignment horizontal="center" vertical="center" wrapText="1"/>
    </xf>
    <xf numFmtId="0" fontId="101" fillId="13" borderId="75" xfId="23" applyFont="1" applyFill="1" applyBorder="1" applyAlignment="1">
      <alignment horizontal="center" vertical="center" wrapText="1"/>
    </xf>
    <xf numFmtId="0" fontId="101" fillId="13" borderId="71" xfId="23" applyFont="1" applyFill="1" applyBorder="1" applyAlignment="1">
      <alignment horizontal="center" vertical="center" wrapText="1"/>
    </xf>
    <xf numFmtId="0" fontId="101" fillId="13" borderId="72" xfId="23" applyFont="1" applyFill="1" applyBorder="1" applyAlignment="1">
      <alignment horizontal="center" vertical="center" wrapText="1"/>
    </xf>
    <xf numFmtId="0" fontId="101" fillId="13" borderId="76" xfId="23" applyFont="1" applyFill="1" applyBorder="1" applyAlignment="1">
      <alignment horizontal="center" vertical="center" wrapText="1"/>
    </xf>
    <xf numFmtId="2" fontId="103" fillId="15" borderId="9" xfId="23" applyNumberFormat="1" applyFont="1" applyFill="1" applyBorder="1" applyAlignment="1">
      <alignment horizontal="center"/>
    </xf>
    <xf numFmtId="0" fontId="14" fillId="0" borderId="32" xfId="23" applyFont="1" applyFill="1" applyBorder="1" applyAlignment="1"/>
    <xf numFmtId="0" fontId="9" fillId="15" borderId="77" xfId="23" applyFont="1" applyFill="1" applyBorder="1" applyAlignment="1">
      <alignment horizontal="center"/>
    </xf>
    <xf numFmtId="0" fontId="9" fillId="15" borderId="78" xfId="23" applyFont="1" applyFill="1" applyBorder="1" applyAlignment="1">
      <alignment horizontal="center"/>
    </xf>
    <xf numFmtId="0" fontId="9" fillId="15" borderId="79" xfId="23" applyFont="1" applyFill="1" applyBorder="1" applyAlignment="1">
      <alignment horizontal="center"/>
    </xf>
    <xf numFmtId="0" fontId="14" fillId="0" borderId="9" xfId="23" applyFont="1" applyFill="1" applyBorder="1" applyAlignment="1"/>
    <xf numFmtId="0" fontId="14" fillId="0" borderId="33" xfId="23" applyBorder="1" applyAlignment="1">
      <alignment horizontal="center"/>
    </xf>
    <xf numFmtId="0" fontId="99" fillId="0" borderId="80" xfId="23" applyFont="1" applyFill="1" applyBorder="1" applyAlignment="1"/>
    <xf numFmtId="0" fontId="14" fillId="0" borderId="40" xfId="23" applyBorder="1" applyAlignment="1">
      <alignment horizontal="center"/>
    </xf>
    <xf numFmtId="41" fontId="99" fillId="0" borderId="63" xfId="23" applyNumberFormat="1" applyFont="1" applyBorder="1" applyAlignment="1"/>
    <xf numFmtId="186" fontId="99" fillId="0" borderId="81" xfId="24" applyNumberFormat="1" applyFont="1" applyFill="1" applyBorder="1" applyAlignment="1">
      <alignment horizontal="center"/>
    </xf>
    <xf numFmtId="41" fontId="99" fillId="0" borderId="81" xfId="23" applyNumberFormat="1" applyFont="1" applyFill="1" applyBorder="1" applyAlignment="1">
      <alignment horizontal="center"/>
    </xf>
    <xf numFmtId="41" fontId="99" fillId="0" borderId="82" xfId="23" applyNumberFormat="1" applyFont="1" applyFill="1" applyBorder="1" applyAlignment="1">
      <alignment horizontal="center"/>
    </xf>
    <xf numFmtId="0" fontId="14" fillId="0" borderId="80" xfId="23" applyFill="1" applyBorder="1" applyAlignment="1"/>
    <xf numFmtId="186" fontId="0" fillId="0" borderId="67" xfId="24" applyNumberFormat="1" applyFont="1" applyFill="1" applyBorder="1" applyAlignment="1">
      <alignment horizontal="center"/>
    </xf>
    <xf numFmtId="186" fontId="0" fillId="0" borderId="81" xfId="24" applyNumberFormat="1" applyFont="1" applyFill="1" applyBorder="1" applyAlignment="1">
      <alignment horizontal="center"/>
    </xf>
    <xf numFmtId="0" fontId="14" fillId="0" borderId="83" xfId="23" applyFill="1" applyBorder="1" applyAlignment="1"/>
    <xf numFmtId="0" fontId="14" fillId="0" borderId="84" xfId="23" applyFont="1" applyFill="1" applyBorder="1" applyAlignment="1">
      <alignment horizontal="center"/>
    </xf>
    <xf numFmtId="41" fontId="14" fillId="0" borderId="7" xfId="23" applyNumberFormat="1" applyFont="1" applyFill="1" applyBorder="1" applyAlignment="1">
      <alignment horizontal="right"/>
    </xf>
    <xf numFmtId="0" fontId="99" fillId="0" borderId="0" xfId="23" applyFont="1" applyBorder="1" applyAlignment="1">
      <alignment horizontal="centerContinuous"/>
    </xf>
    <xf numFmtId="41" fontId="14" fillId="0" borderId="32" xfId="23" applyNumberFormat="1" applyFont="1" applyFill="1" applyBorder="1" applyAlignment="1">
      <alignment horizontal="center"/>
    </xf>
    <xf numFmtId="41" fontId="14" fillId="0" borderId="58" xfId="23" applyNumberFormat="1" applyFont="1" applyBorder="1" applyAlignment="1">
      <alignment horizontal="center"/>
    </xf>
    <xf numFmtId="0" fontId="14" fillId="0" borderId="32" xfId="23" applyFont="1" applyFill="1" applyBorder="1" applyAlignment="1">
      <alignment horizontal="centerContinuous"/>
    </xf>
    <xf numFmtId="0" fontId="14" fillId="0" borderId="33" xfId="23" applyFont="1" applyBorder="1" applyAlignment="1">
      <alignment horizontal="centerContinuous"/>
    </xf>
    <xf numFmtId="41" fontId="14" fillId="0" borderId="0" xfId="23" applyNumberFormat="1" applyFont="1" applyFill="1" applyBorder="1" applyAlignment="1">
      <alignment horizontal="right"/>
    </xf>
    <xf numFmtId="41" fontId="104" fillId="0" borderId="0" xfId="23" applyNumberFormat="1" applyFont="1" applyFill="1" applyBorder="1" applyAlignment="1">
      <alignment horizontal="center"/>
    </xf>
    <xf numFmtId="41" fontId="14" fillId="0" borderId="39" xfId="23" applyNumberFormat="1" applyFont="1" applyFill="1" applyBorder="1" applyAlignment="1">
      <alignment horizontal="center"/>
    </xf>
    <xf numFmtId="41" fontId="14" fillId="0" borderId="67" xfId="23" applyNumberFormat="1" applyFont="1" applyFill="1" applyBorder="1" applyAlignment="1">
      <alignment horizontal="center"/>
    </xf>
    <xf numFmtId="0" fontId="14" fillId="0" borderId="39" xfId="23" applyFill="1" applyBorder="1" applyAlignment="1"/>
    <xf numFmtId="0" fontId="14" fillId="0" borderId="40" xfId="23" applyFill="1" applyBorder="1" applyAlignment="1"/>
    <xf numFmtId="0" fontId="14" fillId="0" borderId="0" xfId="23" applyBorder="1" applyAlignment="1">
      <alignment horizontal="center"/>
    </xf>
    <xf numFmtId="0" fontId="14" fillId="0" borderId="0" xfId="23" applyBorder="1" applyAlignment="1">
      <alignment horizontal="centerContinuous"/>
    </xf>
    <xf numFmtId="0" fontId="105" fillId="0" borderId="0" xfId="23" applyFont="1" applyAlignment="1"/>
    <xf numFmtId="0" fontId="107" fillId="0" borderId="0" xfId="23" applyFont="1" applyAlignment="1">
      <alignment horizontal="left" indent="4"/>
    </xf>
    <xf numFmtId="0" fontId="107" fillId="0" borderId="0" xfId="23" applyFont="1" applyAlignment="1">
      <alignment wrapText="1"/>
    </xf>
    <xf numFmtId="0" fontId="109" fillId="0" borderId="0" xfId="23" applyFont="1" applyAlignment="1"/>
    <xf numFmtId="0" fontId="110" fillId="0" borderId="0" xfId="23" applyFont="1" applyAlignment="1"/>
    <xf numFmtId="184" fontId="111" fillId="17" borderId="83" xfId="23" applyNumberFormat="1" applyFont="1" applyFill="1" applyBorder="1" applyAlignment="1"/>
    <xf numFmtId="184" fontId="111" fillId="17" borderId="87" xfId="23" applyNumberFormat="1" applyFont="1" applyFill="1" applyBorder="1" applyAlignment="1"/>
    <xf numFmtId="0" fontId="112" fillId="17" borderId="88" xfId="23" applyFont="1" applyFill="1" applyBorder="1" applyAlignment="1">
      <alignment horizontal="left"/>
    </xf>
    <xf numFmtId="181" fontId="113" fillId="17" borderId="32" xfId="23" applyNumberFormat="1" applyFont="1" applyFill="1" applyBorder="1" applyAlignment="1"/>
    <xf numFmtId="181" fontId="113" fillId="17" borderId="0" xfId="23" applyNumberFormat="1" applyFont="1" applyFill="1" applyBorder="1" applyAlignment="1"/>
    <xf numFmtId="181" fontId="111" fillId="17" borderId="0" xfId="23" applyNumberFormat="1" applyFont="1" applyFill="1" applyBorder="1" applyAlignment="1"/>
    <xf numFmtId="0" fontId="112" fillId="17" borderId="33" xfId="23" applyFont="1" applyFill="1" applyBorder="1" applyAlignment="1">
      <alignment horizontal="left"/>
    </xf>
    <xf numFmtId="41" fontId="113" fillId="18" borderId="53" xfId="23" applyNumberFormat="1" applyFont="1" applyFill="1" applyBorder="1" applyAlignment="1"/>
    <xf numFmtId="41" fontId="113" fillId="18" borderId="55" xfId="23" applyNumberFormat="1" applyFont="1" applyFill="1" applyBorder="1" applyAlignment="1"/>
    <xf numFmtId="41" fontId="111" fillId="18" borderId="55" xfId="23" applyNumberFormat="1" applyFont="1" applyFill="1" applyBorder="1" applyAlignment="1"/>
    <xf numFmtId="0" fontId="112" fillId="18" borderId="89" xfId="23" applyFont="1" applyFill="1" applyBorder="1" applyAlignment="1">
      <alignment horizontal="left"/>
    </xf>
    <xf numFmtId="0" fontId="112" fillId="17" borderId="85" xfId="23" applyFont="1" applyFill="1" applyBorder="1" applyAlignment="1">
      <alignment horizontal="right"/>
    </xf>
    <xf numFmtId="0" fontId="112" fillId="17" borderId="90" xfId="23" applyFont="1" applyFill="1" applyBorder="1" applyAlignment="1"/>
    <xf numFmtId="0" fontId="111" fillId="17" borderId="86" xfId="23" applyFont="1" applyFill="1" applyBorder="1" applyAlignment="1"/>
    <xf numFmtId="49" fontId="13" fillId="0" borderId="0" xfId="0" applyNumberFormat="1" applyFont="1" applyFill="1"/>
    <xf numFmtId="0" fontId="14" fillId="17" borderId="0" xfId="13" applyFill="1"/>
    <xf numFmtId="41" fontId="14" fillId="0" borderId="43" xfId="13" applyNumberFormat="1" applyFill="1" applyBorder="1" applyAlignment="1"/>
    <xf numFmtId="0" fontId="111" fillId="17" borderId="30" xfId="13" applyFont="1" applyFill="1" applyBorder="1"/>
    <xf numFmtId="0" fontId="111" fillId="17" borderId="7" xfId="13" applyFont="1" applyFill="1" applyBorder="1"/>
    <xf numFmtId="0" fontId="111" fillId="17" borderId="31" xfId="13" applyFont="1" applyFill="1" applyBorder="1"/>
    <xf numFmtId="41" fontId="14" fillId="0" borderId="3" xfId="13" applyNumberFormat="1" applyFill="1" applyBorder="1" applyAlignment="1"/>
    <xf numFmtId="0" fontId="111" fillId="17" borderId="32" xfId="13" applyFont="1" applyFill="1" applyBorder="1"/>
    <xf numFmtId="0" fontId="111" fillId="17" borderId="0" xfId="13" applyFont="1" applyFill="1" applyBorder="1"/>
    <xf numFmtId="0" fontId="114" fillId="17" borderId="0" xfId="13" applyFont="1" applyFill="1" applyBorder="1"/>
    <xf numFmtId="0" fontId="114" fillId="17" borderId="33" xfId="13" applyFont="1" applyFill="1" applyBorder="1"/>
    <xf numFmtId="0" fontId="111" fillId="17" borderId="33" xfId="13" applyFont="1" applyFill="1" applyBorder="1"/>
    <xf numFmtId="0" fontId="14" fillId="17" borderId="0" xfId="13" applyFont="1" applyFill="1"/>
    <xf numFmtId="0" fontId="111" fillId="17" borderId="91" xfId="13" applyFont="1" applyFill="1" applyBorder="1"/>
    <xf numFmtId="184" fontId="111" fillId="17" borderId="30" xfId="13" applyNumberFormat="1" applyFont="1" applyFill="1" applyBorder="1"/>
    <xf numFmtId="184" fontId="111" fillId="17" borderId="7" xfId="13" applyNumberFormat="1" applyFont="1" applyFill="1" applyBorder="1"/>
    <xf numFmtId="184" fontId="111" fillId="17" borderId="31" xfId="13" applyNumberFormat="1" applyFont="1" applyFill="1" applyBorder="1"/>
    <xf numFmtId="0" fontId="112" fillId="17" borderId="92" xfId="13" applyFont="1" applyFill="1" applyBorder="1" applyAlignment="1">
      <alignment horizontal="left" indent="1"/>
    </xf>
    <xf numFmtId="41" fontId="14" fillId="0" borderId="50" xfId="13" applyNumberFormat="1" applyFill="1" applyBorder="1" applyAlignment="1"/>
    <xf numFmtId="0" fontId="14" fillId="0" borderId="51" xfId="13" applyFill="1" applyBorder="1" applyAlignment="1"/>
    <xf numFmtId="184" fontId="111" fillId="17" borderId="32" xfId="13" applyNumberFormat="1" applyFont="1" applyFill="1" applyBorder="1"/>
    <xf numFmtId="184" fontId="111" fillId="17" borderId="0" xfId="13" applyNumberFormat="1" applyFont="1" applyFill="1" applyBorder="1"/>
    <xf numFmtId="184" fontId="111" fillId="17" borderId="33" xfId="13" applyNumberFormat="1" applyFont="1" applyFill="1" applyBorder="1"/>
    <xf numFmtId="0" fontId="112" fillId="17" borderId="33" xfId="13" applyFont="1" applyFill="1" applyBorder="1" applyAlignment="1">
      <alignment horizontal="left" indent="1"/>
    </xf>
    <xf numFmtId="0" fontId="14" fillId="0" borderId="45" xfId="13" applyFill="1" applyBorder="1" applyAlignment="1"/>
    <xf numFmtId="0" fontId="112" fillId="17" borderId="85" xfId="13" applyFont="1" applyFill="1" applyBorder="1" applyAlignment="1">
      <alignment horizontal="right"/>
    </xf>
    <xf numFmtId="0" fontId="112" fillId="17" borderId="90" xfId="13" applyFont="1" applyFill="1" applyBorder="1"/>
    <xf numFmtId="0" fontId="112" fillId="17" borderId="86" xfId="13" applyFont="1" applyFill="1" applyBorder="1"/>
    <xf numFmtId="0" fontId="115" fillId="17" borderId="33" xfId="13" applyFont="1" applyFill="1" applyBorder="1"/>
    <xf numFmtId="0" fontId="111" fillId="17" borderId="93" xfId="13" applyFont="1" applyFill="1" applyBorder="1"/>
    <xf numFmtId="41" fontId="111" fillId="17" borderId="93" xfId="13" applyNumberFormat="1" applyFont="1" applyFill="1" applyBorder="1"/>
    <xf numFmtId="41" fontId="111" fillId="17" borderId="94" xfId="13" applyNumberFormat="1" applyFont="1" applyFill="1" applyBorder="1"/>
    <xf numFmtId="41" fontId="111" fillId="17" borderId="95" xfId="13" applyNumberFormat="1" applyFont="1" applyFill="1" applyBorder="1"/>
    <xf numFmtId="0" fontId="111" fillId="17" borderId="95" xfId="13" applyFont="1" applyFill="1" applyBorder="1"/>
    <xf numFmtId="0" fontId="112" fillId="19" borderId="51" xfId="13" applyFont="1" applyFill="1" applyBorder="1"/>
    <xf numFmtId="41" fontId="111" fillId="19" borderId="55" xfId="13" applyNumberFormat="1" applyFont="1" applyFill="1" applyBorder="1"/>
    <xf numFmtId="41" fontId="14" fillId="0" borderId="11" xfId="13" applyNumberFormat="1" applyFill="1" applyBorder="1" applyAlignment="1"/>
    <xf numFmtId="0" fontId="14" fillId="0" borderId="59" xfId="13" applyFill="1" applyBorder="1" applyAlignment="1"/>
    <xf numFmtId="0" fontId="112" fillId="17" borderId="45" xfId="13" applyFont="1" applyFill="1" applyBorder="1"/>
    <xf numFmtId="41" fontId="111" fillId="17" borderId="0" xfId="13" applyNumberFormat="1" applyFont="1" applyFill="1" applyBorder="1"/>
    <xf numFmtId="0" fontId="112" fillId="17" borderId="96" xfId="13" applyFont="1" applyFill="1" applyBorder="1"/>
    <xf numFmtId="41" fontId="111" fillId="17" borderId="4" xfId="13" applyNumberFormat="1" applyFont="1" applyFill="1" applyBorder="1"/>
    <xf numFmtId="0" fontId="112" fillId="17" borderId="45" xfId="13" applyFont="1" applyFill="1" applyBorder="1" applyAlignment="1">
      <alignment horizontal="left" indent="1"/>
    </xf>
    <xf numFmtId="0" fontId="112" fillId="19" borderId="44" xfId="13" applyFont="1" applyFill="1" applyBorder="1"/>
    <xf numFmtId="41" fontId="111" fillId="19" borderId="47" xfId="13" applyNumberFormat="1" applyFont="1" applyFill="1" applyBorder="1"/>
    <xf numFmtId="0" fontId="14" fillId="17" borderId="0" xfId="13" applyFill="1" applyBorder="1"/>
    <xf numFmtId="41" fontId="14" fillId="0" borderId="63" xfId="13" applyNumberFormat="1" applyFill="1" applyBorder="1" applyAlignment="1"/>
    <xf numFmtId="0" fontId="14" fillId="0" borderId="65" xfId="13" applyFill="1" applyBorder="1" applyAlignment="1"/>
    <xf numFmtId="41" fontId="14" fillId="0" borderId="0" xfId="13" applyNumberFormat="1" applyFont="1" applyBorder="1" applyAlignment="1">
      <alignment horizontal="centerContinuous"/>
    </xf>
    <xf numFmtId="0" fontId="9" fillId="0" borderId="0" xfId="13" applyFont="1" applyBorder="1" applyAlignment="1">
      <alignment horizontal="centerContinuous"/>
    </xf>
    <xf numFmtId="0" fontId="25" fillId="17" borderId="0" xfId="13" applyFont="1" applyFill="1" applyBorder="1"/>
    <xf numFmtId="0" fontId="25" fillId="17" borderId="0" xfId="13" applyFont="1" applyFill="1"/>
    <xf numFmtId="0" fontId="95" fillId="0" borderId="0" xfId="14"/>
    <xf numFmtId="0" fontId="118" fillId="0" borderId="0" xfId="14" applyFont="1" applyFill="1" applyAlignment="1" applyProtection="1"/>
    <xf numFmtId="0" fontId="119" fillId="0" borderId="0" xfId="14" applyFont="1" applyFill="1" applyAlignment="1" applyProtection="1">
      <alignment horizontal="right"/>
    </xf>
    <xf numFmtId="187" fontId="119" fillId="0" borderId="0" xfId="14" applyNumberFormat="1" applyFont="1" applyFill="1" applyAlignment="1" applyProtection="1">
      <alignment horizontal="right"/>
    </xf>
    <xf numFmtId="188" fontId="119" fillId="0" borderId="0" xfId="14" applyNumberFormat="1" applyFont="1" applyFill="1" applyAlignment="1" applyProtection="1">
      <alignment horizontal="right"/>
    </xf>
    <xf numFmtId="0" fontId="119" fillId="0" borderId="0" xfId="14" applyFont="1" applyFill="1" applyAlignment="1" applyProtection="1"/>
    <xf numFmtId="184" fontId="95" fillId="0" borderId="0" xfId="14" applyNumberFormat="1"/>
    <xf numFmtId="0" fontId="95" fillId="0" borderId="0" xfId="14" applyBorder="1"/>
    <xf numFmtId="0" fontId="119" fillId="0" borderId="0" xfId="14" applyFont="1" applyFill="1" applyBorder="1" applyAlignment="1" applyProtection="1">
      <alignment horizontal="right"/>
    </xf>
    <xf numFmtId="43" fontId="119" fillId="5" borderId="0" xfId="14" applyNumberFormat="1" applyFont="1" applyFill="1" applyAlignment="1" applyProtection="1">
      <alignment horizontal="left"/>
    </xf>
    <xf numFmtId="0" fontId="119" fillId="5" borderId="0" xfId="14" applyFont="1" applyFill="1" applyAlignment="1" applyProtection="1">
      <alignment horizontal="right"/>
    </xf>
    <xf numFmtId="0" fontId="119" fillId="5" borderId="0" xfId="14" applyFont="1" applyFill="1" applyAlignment="1" applyProtection="1">
      <alignment horizontal="left"/>
    </xf>
    <xf numFmtId="0" fontId="119" fillId="0" borderId="0" xfId="14" applyFont="1" applyFill="1" applyAlignment="1" applyProtection="1">
      <alignment horizontal="centerContinuous"/>
    </xf>
    <xf numFmtId="2" fontId="119" fillId="0" borderId="0" xfId="14" applyNumberFormat="1" applyFont="1" applyFill="1" applyAlignment="1" applyProtection="1">
      <alignment horizontal="centerContinuous"/>
    </xf>
    <xf numFmtId="1" fontId="25" fillId="17" borderId="0" xfId="13" applyNumberFormat="1" applyFont="1" applyFill="1"/>
    <xf numFmtId="1" fontId="14" fillId="17" borderId="0" xfId="13" applyNumberFormat="1" applyFill="1"/>
    <xf numFmtId="0" fontId="120" fillId="17" borderId="0" xfId="13" applyFont="1" applyFill="1"/>
    <xf numFmtId="0" fontId="25" fillId="17" borderId="30" xfId="13" applyFont="1" applyFill="1" applyBorder="1" applyAlignment="1"/>
    <xf numFmtId="0" fontId="25" fillId="17" borderId="7" xfId="13" applyFont="1" applyFill="1" applyBorder="1" applyAlignment="1"/>
    <xf numFmtId="0" fontId="112" fillId="17" borderId="39" xfId="13" applyFont="1" applyFill="1" applyBorder="1"/>
    <xf numFmtId="181" fontId="111" fillId="17" borderId="1" xfId="13" applyNumberFormat="1" applyFont="1" applyFill="1" applyBorder="1"/>
    <xf numFmtId="0" fontId="112" fillId="17" borderId="40" xfId="13" applyFont="1" applyFill="1" applyBorder="1"/>
    <xf numFmtId="0" fontId="112" fillId="21" borderId="59" xfId="13" applyFont="1" applyFill="1" applyBorder="1"/>
    <xf numFmtId="41" fontId="111" fillId="21" borderId="9" xfId="13" applyNumberFormat="1" applyFont="1" applyFill="1" applyBorder="1"/>
    <xf numFmtId="41" fontId="111" fillId="17" borderId="0" xfId="13" applyNumberFormat="1" applyFont="1" applyFill="1"/>
    <xf numFmtId="41" fontId="111" fillId="17" borderId="32" xfId="13" applyNumberFormat="1" applyFont="1" applyFill="1" applyBorder="1"/>
    <xf numFmtId="41" fontId="111" fillId="17" borderId="9" xfId="13" applyNumberFormat="1" applyFont="1" applyFill="1" applyBorder="1"/>
    <xf numFmtId="0" fontId="121" fillId="17" borderId="45" xfId="13" applyFont="1" applyFill="1" applyBorder="1"/>
    <xf numFmtId="0" fontId="112" fillId="21" borderId="44" xfId="13" applyFont="1" applyFill="1" applyBorder="1"/>
    <xf numFmtId="41" fontId="111" fillId="21" borderId="47" xfId="13" applyNumberFormat="1" applyFont="1" applyFill="1" applyBorder="1"/>
    <xf numFmtId="0" fontId="112" fillId="17" borderId="45" xfId="13" applyFont="1" applyFill="1" applyBorder="1" applyAlignment="1">
      <alignment wrapText="1"/>
    </xf>
    <xf numFmtId="0" fontId="112" fillId="17" borderId="45" xfId="13" applyFont="1" applyFill="1" applyBorder="1" applyAlignment="1">
      <alignment horizontal="left" wrapText="1"/>
    </xf>
    <xf numFmtId="0" fontId="112" fillId="17" borderId="45" xfId="13" applyFont="1" applyFill="1" applyBorder="1" applyAlignment="1"/>
    <xf numFmtId="0" fontId="112" fillId="22" borderId="96" xfId="13" applyFont="1" applyFill="1" applyBorder="1"/>
    <xf numFmtId="41" fontId="111" fillId="22" borderId="4" xfId="13" applyNumberFormat="1" applyFont="1" applyFill="1" applyBorder="1"/>
    <xf numFmtId="0" fontId="112" fillId="17" borderId="59" xfId="13" applyFont="1" applyFill="1" applyBorder="1" applyAlignment="1">
      <alignment wrapText="1"/>
    </xf>
    <xf numFmtId="0" fontId="112" fillId="17" borderId="59" xfId="13" applyFont="1" applyFill="1" applyBorder="1"/>
    <xf numFmtId="41" fontId="111" fillId="17" borderId="34" xfId="13" applyNumberFormat="1" applyFont="1" applyFill="1" applyBorder="1"/>
    <xf numFmtId="41" fontId="111" fillId="17" borderId="35" xfId="13" applyNumberFormat="1" applyFont="1" applyFill="1" applyBorder="1"/>
    <xf numFmtId="0" fontId="112" fillId="17" borderId="59" xfId="13" applyFont="1" applyFill="1" applyBorder="1" applyAlignment="1">
      <alignment horizontal="left" indent="1"/>
    </xf>
    <xf numFmtId="9" fontId="112" fillId="17" borderId="45" xfId="13" applyNumberFormat="1" applyFont="1" applyFill="1" applyBorder="1" applyAlignment="1">
      <alignment horizontal="center"/>
    </xf>
    <xf numFmtId="0" fontId="112" fillId="17" borderId="65" xfId="13" applyFont="1" applyFill="1" applyBorder="1"/>
    <xf numFmtId="14" fontId="112" fillId="17" borderId="85" xfId="13" applyNumberFormat="1" applyFont="1" applyFill="1" applyBorder="1" applyAlignment="1">
      <alignment horizontal="right"/>
    </xf>
    <xf numFmtId="4" fontId="111" fillId="21" borderId="9" xfId="13" applyNumberFormat="1" applyFont="1" applyFill="1" applyBorder="1"/>
    <xf numFmtId="2" fontId="111" fillId="17" borderId="0" xfId="13" applyNumberFormat="1" applyFont="1" applyFill="1"/>
    <xf numFmtId="2" fontId="111" fillId="17" borderId="0" xfId="13" applyNumberFormat="1" applyFont="1" applyFill="1" applyBorder="1"/>
    <xf numFmtId="184" fontId="111" fillId="17" borderId="34" xfId="13" applyNumberFormat="1" applyFont="1" applyFill="1" applyBorder="1"/>
    <xf numFmtId="2" fontId="111" fillId="17" borderId="4" xfId="13" applyNumberFormat="1" applyFont="1" applyFill="1" applyBorder="1"/>
    <xf numFmtId="4" fontId="111" fillId="21" borderId="47" xfId="13" applyNumberFormat="1" applyFont="1" applyFill="1" applyBorder="1"/>
    <xf numFmtId="2" fontId="111" fillId="17" borderId="0" xfId="13" applyNumberFormat="1" applyFont="1" applyFill="1" applyBorder="1" applyAlignment="1">
      <alignment horizontal="right"/>
    </xf>
    <xf numFmtId="2" fontId="111" fillId="22" borderId="4" xfId="13" applyNumberFormat="1" applyFont="1" applyFill="1" applyBorder="1"/>
    <xf numFmtId="2" fontId="111" fillId="17" borderId="9" xfId="13" applyNumberFormat="1" applyFont="1" applyFill="1" applyBorder="1"/>
    <xf numFmtId="2" fontId="111" fillId="17" borderId="0" xfId="13" applyNumberFormat="1" applyFont="1" applyFill="1" applyAlignment="1">
      <alignment horizontal="right"/>
    </xf>
    <xf numFmtId="2" fontId="111" fillId="22" borderId="4" xfId="13" applyNumberFormat="1" applyFont="1" applyFill="1" applyBorder="1" applyAlignment="1">
      <alignment horizontal="right"/>
    </xf>
    <xf numFmtId="184" fontId="14" fillId="17" borderId="0" xfId="13" applyNumberFormat="1" applyFill="1"/>
    <xf numFmtId="43" fontId="14" fillId="17" borderId="0" xfId="13" applyNumberFormat="1" applyFill="1"/>
    <xf numFmtId="16" fontId="14" fillId="17" borderId="0" xfId="13" applyNumberFormat="1" applyFill="1"/>
    <xf numFmtId="0" fontId="14" fillId="17" borderId="30" xfId="13" applyFill="1" applyBorder="1"/>
    <xf numFmtId="0" fontId="14" fillId="17" borderId="7" xfId="13" applyFill="1" applyBorder="1"/>
    <xf numFmtId="0" fontId="114" fillId="17" borderId="31" xfId="13" applyFont="1" applyFill="1" applyBorder="1" applyAlignment="1">
      <alignment horizontal="left"/>
    </xf>
    <xf numFmtId="0" fontId="114" fillId="17" borderId="32" xfId="13" applyFont="1" applyFill="1" applyBorder="1" applyAlignment="1">
      <alignment horizontal="left"/>
    </xf>
    <xf numFmtId="0" fontId="114" fillId="17" borderId="0" xfId="13" applyFont="1" applyFill="1" applyBorder="1" applyAlignment="1">
      <alignment horizontal="left"/>
    </xf>
    <xf numFmtId="0" fontId="114" fillId="17" borderId="33" xfId="13" applyFont="1" applyFill="1" applyBorder="1" applyAlignment="1">
      <alignment horizontal="left"/>
    </xf>
    <xf numFmtId="0" fontId="14" fillId="17" borderId="39" xfId="13" applyFill="1" applyBorder="1"/>
    <xf numFmtId="0" fontId="14" fillId="17" borderId="1" xfId="13" applyFill="1" applyBorder="1"/>
    <xf numFmtId="0" fontId="14" fillId="17" borderId="40" xfId="13" applyFill="1" applyBorder="1"/>
    <xf numFmtId="0" fontId="112" fillId="17" borderId="80" xfId="13" applyFont="1" applyFill="1" applyBorder="1"/>
    <xf numFmtId="2" fontId="111" fillId="17" borderId="7" xfId="13" applyNumberFormat="1" applyFont="1" applyFill="1" applyBorder="1"/>
    <xf numFmtId="181" fontId="113" fillId="17" borderId="0" xfId="13" applyNumberFormat="1" applyFont="1" applyFill="1" applyBorder="1"/>
    <xf numFmtId="181" fontId="111" fillId="17" borderId="0" xfId="13" applyNumberFormat="1" applyFont="1" applyFill="1" applyBorder="1"/>
    <xf numFmtId="0" fontId="14" fillId="0" borderId="0" xfId="13" applyBorder="1" applyAlignment="1"/>
    <xf numFmtId="0" fontId="112" fillId="17" borderId="97" xfId="13" applyFont="1" applyFill="1" applyBorder="1"/>
    <xf numFmtId="0" fontId="111" fillId="17" borderId="94" xfId="13" applyFont="1" applyFill="1" applyBorder="1"/>
    <xf numFmtId="0" fontId="112" fillId="18" borderId="51" xfId="13" applyFont="1" applyFill="1" applyBorder="1"/>
    <xf numFmtId="41" fontId="113" fillId="18" borderId="55" xfId="13" applyNumberFormat="1" applyFont="1" applyFill="1" applyBorder="1"/>
    <xf numFmtId="41" fontId="111" fillId="18" borderId="55" xfId="13" applyNumberFormat="1" applyFont="1" applyFill="1" applyBorder="1"/>
    <xf numFmtId="41" fontId="113" fillId="17" borderId="4" xfId="13" applyNumberFormat="1" applyFont="1" applyFill="1" applyBorder="1"/>
    <xf numFmtId="41" fontId="113" fillId="17" borderId="0" xfId="13" applyNumberFormat="1" applyFont="1" applyFill="1" applyBorder="1"/>
    <xf numFmtId="41" fontId="113" fillId="17" borderId="0" xfId="13" applyNumberFormat="1" applyFont="1" applyFill="1"/>
    <xf numFmtId="0" fontId="14" fillId="0" borderId="80" xfId="13" applyFill="1" applyBorder="1" applyAlignment="1"/>
    <xf numFmtId="0" fontId="14" fillId="17" borderId="32" xfId="13" applyFill="1" applyBorder="1"/>
    <xf numFmtId="9" fontId="14" fillId="17" borderId="0" xfId="25" applyFont="1" applyFill="1" applyBorder="1"/>
    <xf numFmtId="0" fontId="14" fillId="17" borderId="33" xfId="13" applyFont="1" applyFill="1" applyBorder="1"/>
    <xf numFmtId="0" fontId="14" fillId="0" borderId="26" xfId="13" applyFont="1" applyBorder="1"/>
    <xf numFmtId="0" fontId="14" fillId="23" borderId="26" xfId="13" applyFont="1" applyFill="1" applyBorder="1"/>
    <xf numFmtId="0" fontId="14" fillId="24" borderId="26" xfId="13" applyFont="1" applyFill="1" applyBorder="1"/>
    <xf numFmtId="41" fontId="14" fillId="17" borderId="26" xfId="13" applyNumberFormat="1" applyFont="1" applyFill="1" applyBorder="1"/>
    <xf numFmtId="49" fontId="14" fillId="0" borderId="26" xfId="13" applyNumberFormat="1" applyFont="1" applyBorder="1"/>
    <xf numFmtId="41" fontId="14" fillId="23" borderId="26" xfId="13" applyNumberFormat="1" applyFont="1" applyFill="1" applyBorder="1"/>
    <xf numFmtId="0" fontId="14" fillId="5" borderId="26" xfId="13" applyFont="1" applyFill="1" applyBorder="1"/>
    <xf numFmtId="0" fontId="14" fillId="9" borderId="26" xfId="13" applyFont="1" applyFill="1" applyBorder="1"/>
    <xf numFmtId="49" fontId="14" fillId="5" borderId="26" xfId="13" applyNumberFormat="1" applyFont="1" applyFill="1" applyBorder="1"/>
    <xf numFmtId="184" fontId="14" fillId="9" borderId="26" xfId="13" applyNumberFormat="1" applyFont="1" applyFill="1" applyBorder="1"/>
    <xf numFmtId="184" fontId="14" fillId="17" borderId="26" xfId="13" applyNumberFormat="1" applyFont="1" applyFill="1" applyBorder="1"/>
    <xf numFmtId="184" fontId="14" fillId="23" borderId="26" xfId="13" applyNumberFormat="1" applyFont="1" applyFill="1" applyBorder="1"/>
    <xf numFmtId="49" fontId="14" fillId="25" borderId="26" xfId="13" applyNumberFormat="1" applyFont="1" applyFill="1" applyBorder="1"/>
    <xf numFmtId="184" fontId="14" fillId="0" borderId="26" xfId="13" applyNumberFormat="1" applyFont="1" applyBorder="1"/>
    <xf numFmtId="0" fontId="14" fillId="0" borderId="98" xfId="13" applyFont="1" applyBorder="1"/>
    <xf numFmtId="0" fontId="14" fillId="0" borderId="99" xfId="13" applyFont="1" applyBorder="1"/>
    <xf numFmtId="14" fontId="14" fillId="0" borderId="26" xfId="13" applyNumberFormat="1" applyFont="1" applyBorder="1"/>
    <xf numFmtId="1" fontId="111" fillId="17" borderId="7" xfId="13" applyNumberFormat="1" applyFont="1" applyFill="1" applyBorder="1" applyAlignment="1">
      <alignment horizontal="right"/>
    </xf>
    <xf numFmtId="3" fontId="111" fillId="18" borderId="55" xfId="13" applyNumberFormat="1" applyFont="1" applyFill="1" applyBorder="1"/>
    <xf numFmtId="3" fontId="113" fillId="18" borderId="55" xfId="13" applyNumberFormat="1" applyFont="1" applyFill="1" applyBorder="1"/>
    <xf numFmtId="3" fontId="113" fillId="17" borderId="0" xfId="13" applyNumberFormat="1" applyFont="1" applyFill="1"/>
    <xf numFmtId="3" fontId="111" fillId="17" borderId="0" xfId="13" applyNumberFormat="1" applyFont="1" applyFill="1"/>
    <xf numFmtId="3" fontId="113" fillId="17" borderId="4" xfId="13" applyNumberFormat="1" applyFont="1" applyFill="1" applyBorder="1"/>
    <xf numFmtId="3" fontId="113" fillId="17" borderId="0" xfId="13" applyNumberFormat="1" applyFont="1" applyFill="1" applyBorder="1"/>
    <xf numFmtId="3" fontId="111" fillId="17" borderId="0" xfId="13" applyNumberFormat="1" applyFont="1" applyFill="1" applyAlignment="1">
      <alignment horizontal="right"/>
    </xf>
    <xf numFmtId="3" fontId="111" fillId="17" borderId="4" xfId="13" applyNumberFormat="1" applyFont="1" applyFill="1" applyBorder="1"/>
    <xf numFmtId="3" fontId="113" fillId="17" borderId="0" xfId="13" applyNumberFormat="1" applyFont="1" applyFill="1" applyBorder="1" applyAlignment="1">
      <alignment horizontal="right"/>
    </xf>
    <xf numFmtId="3" fontId="113" fillId="17" borderId="0" xfId="13" applyNumberFormat="1" applyFont="1" applyFill="1" applyAlignment="1">
      <alignment horizontal="right"/>
    </xf>
    <xf numFmtId="0" fontId="14" fillId="17" borderId="33" xfId="13" applyFill="1" applyBorder="1"/>
    <xf numFmtId="2" fontId="111" fillId="17" borderId="7" xfId="13" applyNumberFormat="1" applyFont="1" applyFill="1" applyBorder="1" applyAlignment="1">
      <alignment horizontal="right"/>
    </xf>
    <xf numFmtId="181" fontId="113" fillId="17" borderId="0" xfId="13" applyNumberFormat="1" applyFont="1" applyFill="1" applyBorder="1" applyAlignment="1">
      <alignment horizontal="right"/>
    </xf>
    <xf numFmtId="181" fontId="111" fillId="17" borderId="0" xfId="13" applyNumberFormat="1" applyFont="1" applyFill="1" applyBorder="1" applyAlignment="1">
      <alignment horizontal="right"/>
    </xf>
    <xf numFmtId="3" fontId="113" fillId="18" borderId="55" xfId="13" applyNumberFormat="1" applyFont="1" applyFill="1" applyBorder="1" applyAlignment="1">
      <alignment horizontal="right"/>
    </xf>
    <xf numFmtId="3" fontId="111" fillId="18" borderId="55" xfId="13" applyNumberFormat="1" applyFont="1" applyFill="1" applyBorder="1" applyAlignment="1">
      <alignment horizontal="right"/>
    </xf>
    <xf numFmtId="3" fontId="113" fillId="17" borderId="4" xfId="13" applyNumberFormat="1" applyFont="1" applyFill="1" applyBorder="1" applyAlignment="1">
      <alignment horizontal="right"/>
    </xf>
    <xf numFmtId="3" fontId="111" fillId="17" borderId="4" xfId="13" applyNumberFormat="1" applyFont="1" applyFill="1" applyBorder="1" applyAlignment="1">
      <alignment horizontal="right"/>
    </xf>
    <xf numFmtId="0" fontId="14" fillId="17" borderId="12" xfId="13" applyFill="1" applyBorder="1" applyAlignment="1"/>
    <xf numFmtId="0" fontId="14" fillId="17" borderId="8" xfId="13" applyFill="1" applyBorder="1" applyAlignment="1"/>
    <xf numFmtId="0" fontId="14" fillId="17" borderId="18" xfId="13" applyFill="1" applyBorder="1" applyAlignment="1"/>
    <xf numFmtId="0" fontId="14" fillId="17" borderId="11" xfId="13" applyFill="1" applyBorder="1" applyAlignment="1"/>
    <xf numFmtId="0" fontId="14" fillId="17" borderId="9" xfId="13" applyFill="1" applyBorder="1" applyAlignment="1"/>
    <xf numFmtId="0" fontId="14" fillId="17" borderId="16" xfId="13" applyFill="1" applyBorder="1" applyAlignment="1"/>
    <xf numFmtId="0" fontId="25" fillId="17" borderId="7" xfId="13" applyFont="1" applyFill="1" applyBorder="1"/>
    <xf numFmtId="0" fontId="14" fillId="17" borderId="31" xfId="13" applyFill="1" applyBorder="1"/>
    <xf numFmtId="0" fontId="123" fillId="17" borderId="0" xfId="13" applyFont="1" applyFill="1" applyBorder="1" applyAlignment="1">
      <alignment horizontal="left"/>
    </xf>
    <xf numFmtId="0" fontId="25" fillId="17" borderId="1" xfId="13" applyFont="1" applyFill="1" applyBorder="1"/>
    <xf numFmtId="2" fontId="14" fillId="17" borderId="45" xfId="13" applyNumberFormat="1" applyFont="1" applyFill="1" applyBorder="1"/>
    <xf numFmtId="2" fontId="14" fillId="17" borderId="30" xfId="13" applyNumberFormat="1" applyFont="1" applyFill="1" applyBorder="1"/>
    <xf numFmtId="2" fontId="14" fillId="17" borderId="7" xfId="13" applyNumberFormat="1" applyFont="1" applyFill="1" applyBorder="1"/>
    <xf numFmtId="0" fontId="14" fillId="17" borderId="80" xfId="13" applyFont="1" applyFill="1" applyBorder="1"/>
    <xf numFmtId="2" fontId="14" fillId="17" borderId="32" xfId="13" applyNumberFormat="1" applyFont="1" applyFill="1" applyBorder="1"/>
    <xf numFmtId="2" fontId="14" fillId="17" borderId="0" xfId="13" applyNumberFormat="1" applyFont="1" applyFill="1" applyBorder="1"/>
    <xf numFmtId="0" fontId="14" fillId="17" borderId="45" xfId="13" applyFont="1" applyFill="1" applyBorder="1"/>
    <xf numFmtId="2" fontId="14" fillId="17" borderId="39" xfId="13" applyNumberFormat="1" applyFont="1" applyFill="1" applyBorder="1"/>
    <xf numFmtId="2" fontId="14" fillId="17" borderId="1" xfId="13" applyNumberFormat="1" applyFont="1" applyFill="1" applyBorder="1"/>
    <xf numFmtId="0" fontId="14" fillId="17" borderId="65" xfId="13" applyFont="1" applyFill="1" applyBorder="1"/>
    <xf numFmtId="0" fontId="9" fillId="17" borderId="45" xfId="13" applyFont="1" applyFill="1" applyBorder="1"/>
    <xf numFmtId="0" fontId="9" fillId="17" borderId="85" xfId="13" applyFont="1" applyFill="1" applyBorder="1"/>
    <xf numFmtId="0" fontId="9" fillId="17" borderId="90" xfId="13" applyFont="1" applyFill="1" applyBorder="1"/>
    <xf numFmtId="0" fontId="84" fillId="17" borderId="7" xfId="13" applyFont="1" applyFill="1" applyBorder="1"/>
    <xf numFmtId="0" fontId="19" fillId="20" borderId="32" xfId="13" applyFont="1" applyFill="1" applyBorder="1" applyAlignment="1">
      <alignment horizontal="center"/>
    </xf>
    <xf numFmtId="0" fontId="120" fillId="17" borderId="0" xfId="13" applyFont="1" applyFill="1" applyBorder="1"/>
    <xf numFmtId="0" fontId="5" fillId="17" borderId="0" xfId="13" applyFont="1" applyFill="1" applyBorder="1"/>
    <xf numFmtId="0" fontId="14" fillId="17" borderId="7" xfId="13" applyFont="1" applyFill="1" applyBorder="1" applyAlignment="1">
      <alignment horizontal="left" indent="1"/>
    </xf>
    <xf numFmtId="0" fontId="14" fillId="17" borderId="100" xfId="13" applyFont="1" applyFill="1" applyBorder="1" applyAlignment="1">
      <alignment horizontal="left" indent="1"/>
    </xf>
    <xf numFmtId="0" fontId="14" fillId="17" borderId="45" xfId="13" applyFill="1" applyBorder="1"/>
    <xf numFmtId="2" fontId="14" fillId="17" borderId="91" xfId="13" applyNumberFormat="1" applyFont="1" applyFill="1" applyBorder="1"/>
    <xf numFmtId="2" fontId="14" fillId="17" borderId="8" xfId="13" applyNumberFormat="1" applyFont="1" applyFill="1" applyBorder="1"/>
    <xf numFmtId="0" fontId="14" fillId="17" borderId="45" xfId="13" applyFont="1" applyFill="1" applyBorder="1" applyAlignment="1">
      <alignment horizontal="left" indent="1"/>
    </xf>
    <xf numFmtId="0" fontId="9" fillId="0" borderId="85" xfId="8" applyFont="1" applyFill="1" applyBorder="1" applyAlignment="1">
      <alignment horizontal="left" vertical="top"/>
    </xf>
    <xf numFmtId="0" fontId="9" fillId="0" borderId="86" xfId="8" applyFont="1" applyFill="1" applyBorder="1" applyAlignment="1">
      <alignment horizontal="left" vertical="top"/>
    </xf>
    <xf numFmtId="0" fontId="14" fillId="0" borderId="91" xfId="8" applyFill="1" applyBorder="1" applyAlignment="1">
      <alignment horizontal="left"/>
    </xf>
    <xf numFmtId="0" fontId="14" fillId="0" borderId="92" xfId="8" applyFill="1" applyBorder="1" applyAlignment="1">
      <alignment horizontal="left"/>
    </xf>
    <xf numFmtId="0" fontId="14" fillId="0" borderId="32" xfId="8" applyFill="1" applyBorder="1" applyAlignment="1">
      <alignment horizontal="left"/>
    </xf>
    <xf numFmtId="0" fontId="14" fillId="0" borderId="33" xfId="8" applyFill="1" applyBorder="1" applyAlignment="1">
      <alignment horizontal="left"/>
    </xf>
    <xf numFmtId="0" fontId="9" fillId="0" borderId="30" xfId="8" applyFont="1" applyFill="1" applyBorder="1" applyAlignment="1">
      <alignment horizontal="left" vertical="top"/>
    </xf>
    <xf numFmtId="0" fontId="9" fillId="0" borderId="31" xfId="8" applyFont="1" applyFill="1" applyBorder="1" applyAlignment="1">
      <alignment horizontal="left" vertical="top"/>
    </xf>
    <xf numFmtId="2" fontId="14" fillId="17" borderId="91" xfId="13" applyNumberFormat="1" applyFont="1" applyFill="1" applyBorder="1" applyAlignment="1">
      <alignment horizontal="right"/>
    </xf>
    <xf numFmtId="2" fontId="14" fillId="17" borderId="8" xfId="13" applyNumberFormat="1" applyFont="1" applyFill="1" applyBorder="1" applyAlignment="1">
      <alignment horizontal="right"/>
    </xf>
    <xf numFmtId="2" fontId="14" fillId="17" borderId="34" xfId="13" applyNumberFormat="1" applyFont="1" applyFill="1" applyBorder="1"/>
    <xf numFmtId="2" fontId="14" fillId="17" borderId="9" xfId="13" applyNumberFormat="1" applyFont="1" applyFill="1" applyBorder="1"/>
    <xf numFmtId="0" fontId="14" fillId="17" borderId="59" xfId="13" applyFont="1" applyFill="1" applyBorder="1" applyAlignment="1">
      <alignment horizontal="left" indent="1"/>
    </xf>
    <xf numFmtId="189" fontId="14" fillId="17" borderId="8" xfId="13" applyNumberFormat="1" applyFont="1" applyFill="1" applyBorder="1"/>
    <xf numFmtId="0" fontId="14" fillId="17" borderId="100" xfId="13" applyFont="1" applyFill="1" applyBorder="1" applyAlignment="1">
      <alignment horizontal="left" wrapText="1" indent="1"/>
    </xf>
    <xf numFmtId="189" fontId="14" fillId="17" borderId="0" xfId="13" applyNumberFormat="1" applyFont="1" applyFill="1" applyBorder="1"/>
    <xf numFmtId="0" fontId="14" fillId="17" borderId="34" xfId="13" applyFill="1" applyBorder="1"/>
    <xf numFmtId="0" fontId="14" fillId="17" borderId="35" xfId="13" applyFill="1" applyBorder="1"/>
    <xf numFmtId="2" fontId="14" fillId="17" borderId="32" xfId="13" applyNumberFormat="1" applyFont="1" applyFill="1" applyBorder="1" applyAlignment="1">
      <alignment horizontal="right"/>
    </xf>
    <xf numFmtId="2" fontId="14" fillId="17" borderId="0" xfId="13" applyNumberFormat="1" applyFont="1" applyFill="1" applyBorder="1" applyAlignment="1">
      <alignment horizontal="right"/>
    </xf>
    <xf numFmtId="0" fontId="14" fillId="17" borderId="32" xfId="13" applyFont="1" applyFill="1" applyBorder="1"/>
    <xf numFmtId="0" fontId="14" fillId="17" borderId="0" xfId="13" applyFont="1" applyFill="1" applyBorder="1"/>
    <xf numFmtId="0" fontId="25" fillId="17" borderId="81" xfId="13" applyFont="1" applyFill="1" applyBorder="1"/>
    <xf numFmtId="0" fontId="14" fillId="0" borderId="0" xfId="13"/>
    <xf numFmtId="0" fontId="14" fillId="0" borderId="0" xfId="8" applyFill="1" applyAlignment="1">
      <alignment horizontal="left"/>
    </xf>
    <xf numFmtId="0" fontId="9" fillId="0" borderId="0" xfId="8" applyFont="1" applyFill="1" applyAlignment="1">
      <alignment horizontal="left" vertical="top"/>
    </xf>
    <xf numFmtId="184" fontId="93" fillId="0" borderId="0" xfId="3" applyNumberFormat="1"/>
    <xf numFmtId="0" fontId="93" fillId="0" borderId="0" xfId="3" applyBorder="1"/>
    <xf numFmtId="41" fontId="93" fillId="7" borderId="0" xfId="3" applyNumberFormat="1" applyFill="1"/>
    <xf numFmtId="41" fontId="14" fillId="0" borderId="26" xfId="13" applyNumberFormat="1" applyFont="1" applyBorder="1"/>
    <xf numFmtId="41" fontId="8" fillId="0" borderId="3" xfId="0" applyNumberFormat="1" applyFont="1" applyFill="1" applyBorder="1"/>
    <xf numFmtId="164" fontId="2" fillId="0" borderId="0" xfId="0" applyNumberFormat="1" applyFont="1" applyFill="1"/>
    <xf numFmtId="174" fontId="2" fillId="0" borderId="0" xfId="0" applyNumberFormat="1" applyFont="1"/>
    <xf numFmtId="190" fontId="0" fillId="0" borderId="0" xfId="0" applyNumberFormat="1"/>
    <xf numFmtId="167" fontId="8" fillId="0" borderId="9" xfId="0" applyNumberFormat="1" applyFont="1" applyFill="1" applyBorder="1"/>
    <xf numFmtId="7" fontId="9" fillId="0" borderId="0" xfId="0" applyNumberFormat="1" applyFont="1" applyFill="1" applyBorder="1"/>
    <xf numFmtId="167" fontId="2" fillId="0" borderId="0" xfId="0" applyNumberFormat="1" applyFont="1" applyFill="1"/>
    <xf numFmtId="165" fontId="126" fillId="0" borderId="0" xfId="0" applyNumberFormat="1" applyFont="1" applyFill="1"/>
    <xf numFmtId="165" fontId="126" fillId="0" borderId="0" xfId="0" applyNumberFormat="1" applyFont="1"/>
    <xf numFmtId="0" fontId="13" fillId="0" borderId="0" xfId="0" applyNumberFormat="1" applyFont="1" applyFill="1"/>
    <xf numFmtId="8" fontId="2" fillId="0" borderId="22" xfId="0" applyNumberFormat="1" applyFont="1" applyFill="1" applyBorder="1"/>
    <xf numFmtId="9" fontId="127" fillId="0" borderId="0" xfId="0" applyNumberFormat="1" applyFont="1"/>
    <xf numFmtId="10" fontId="127" fillId="0" borderId="32" xfId="25" applyNumberFormat="1" applyFont="1" applyBorder="1"/>
    <xf numFmtId="41" fontId="0" fillId="0" borderId="0" xfId="0" applyNumberFormat="1"/>
    <xf numFmtId="41" fontId="127" fillId="0" borderId="0" xfId="0" applyNumberFormat="1" applyFont="1"/>
    <xf numFmtId="41" fontId="130" fillId="0" borderId="55" xfId="0" applyNumberFormat="1" applyFont="1" applyBorder="1"/>
    <xf numFmtId="41" fontId="9" fillId="0" borderId="55" xfId="0" applyNumberFormat="1" applyFont="1" applyBorder="1"/>
    <xf numFmtId="41" fontId="127" fillId="0" borderId="8" xfId="0" applyNumberFormat="1" applyFont="1" applyBorder="1"/>
    <xf numFmtId="41" fontId="127" fillId="0" borderId="0" xfId="24" applyNumberFormat="1" applyFont="1"/>
    <xf numFmtId="41" fontId="130" fillId="0" borderId="0" xfId="0" applyNumberFormat="1" applyFont="1"/>
    <xf numFmtId="184" fontId="127" fillId="0" borderId="33" xfId="0" applyNumberFormat="1" applyFont="1" applyBorder="1"/>
    <xf numFmtId="184" fontId="0" fillId="0" borderId="32" xfId="0" applyNumberFormat="1" applyBorder="1"/>
    <xf numFmtId="184" fontId="127" fillId="0" borderId="32" xfId="0" applyNumberFormat="1" applyFont="1" applyBorder="1"/>
    <xf numFmtId="184" fontId="130" fillId="0" borderId="101" xfId="0" applyNumberFormat="1" applyFont="1" applyBorder="1"/>
    <xf numFmtId="184" fontId="127" fillId="0" borderId="0" xfId="0" applyNumberFormat="1" applyFont="1"/>
    <xf numFmtId="10" fontId="0" fillId="0" borderId="32" xfId="25" applyNumberFormat="1" applyFont="1" applyBorder="1"/>
    <xf numFmtId="9" fontId="128" fillId="5" borderId="0" xfId="25" applyFont="1" applyFill="1"/>
    <xf numFmtId="3" fontId="127" fillId="0" borderId="0" xfId="24" applyNumberFormat="1" applyFont="1" applyBorder="1"/>
    <xf numFmtId="0" fontId="127" fillId="0" borderId="8" xfId="24" applyNumberFormat="1" applyFont="1" applyBorder="1"/>
    <xf numFmtId="191" fontId="0" fillId="0" borderId="0" xfId="0" applyNumberFormat="1"/>
    <xf numFmtId="0" fontId="127" fillId="12" borderId="8" xfId="24" applyNumberFormat="1" applyFont="1" applyFill="1" applyBorder="1"/>
    <xf numFmtId="41" fontId="127" fillId="12" borderId="8" xfId="0" applyNumberFormat="1" applyFont="1" applyFill="1" applyBorder="1"/>
    <xf numFmtId="41" fontId="127" fillId="12" borderId="0" xfId="0" applyNumberFormat="1" applyFont="1" applyFill="1"/>
    <xf numFmtId="41" fontId="127" fillId="0" borderId="0" xfId="0" quotePrefix="1" applyNumberFormat="1" applyFont="1"/>
    <xf numFmtId="10" fontId="0" fillId="0" borderId="17" xfId="25" applyNumberFormat="1" applyFont="1" applyBorder="1"/>
    <xf numFmtId="10" fontId="0" fillId="0" borderId="0" xfId="0" applyNumberFormat="1"/>
    <xf numFmtId="2" fontId="0" fillId="0" borderId="0" xfId="0" applyNumberFormat="1"/>
    <xf numFmtId="0" fontId="132" fillId="28" borderId="102" xfId="0" applyFont="1" applyFill="1" applyBorder="1" applyAlignment="1">
      <alignment horizontal="right"/>
    </xf>
    <xf numFmtId="0" fontId="51" fillId="27" borderId="102" xfId="0" applyFont="1" applyFill="1" applyBorder="1" applyAlignment="1">
      <alignment horizontal="right"/>
    </xf>
    <xf numFmtId="0" fontId="10" fillId="27" borderId="102" xfId="0" applyFont="1" applyFill="1" applyBorder="1" applyAlignment="1">
      <alignment horizontal="right"/>
    </xf>
    <xf numFmtId="0" fontId="51" fillId="28" borderId="103" xfId="0" applyFont="1" applyFill="1" applyBorder="1" applyAlignment="1">
      <alignment horizontal="center" wrapText="1"/>
    </xf>
    <xf numFmtId="0" fontId="51" fillId="29" borderId="104" xfId="0" applyFont="1" applyFill="1" applyBorder="1" applyAlignment="1">
      <alignment horizontal="center" wrapText="1"/>
    </xf>
    <xf numFmtId="0" fontId="51" fillId="28" borderId="104" xfId="0" applyFont="1" applyFill="1" applyBorder="1" applyAlignment="1">
      <alignment horizontal="center" wrapText="1"/>
    </xf>
    <xf numFmtId="0" fontId="133" fillId="28" borderId="104" xfId="27" applyFill="1" applyBorder="1" applyAlignment="1" applyProtection="1">
      <alignment horizontal="center" wrapText="1"/>
    </xf>
    <xf numFmtId="0" fontId="133" fillId="28" borderId="105" xfId="27" applyFill="1" applyBorder="1" applyAlignment="1" applyProtection="1">
      <alignment horizontal="center" wrapText="1"/>
    </xf>
    <xf numFmtId="0" fontId="10" fillId="27" borderId="106" xfId="0" applyFont="1" applyFill="1" applyBorder="1" applyAlignment="1">
      <alignment horizontal="left"/>
    </xf>
    <xf numFmtId="0" fontId="51" fillId="27" borderId="107" xfId="0" applyFont="1" applyFill="1" applyBorder="1" applyAlignment="1">
      <alignment horizontal="right"/>
    </xf>
    <xf numFmtId="0" fontId="10" fillId="27" borderId="107" xfId="0" applyFont="1" applyFill="1" applyBorder="1" applyAlignment="1">
      <alignment horizontal="right"/>
    </xf>
    <xf numFmtId="0" fontId="10" fillId="27" borderId="108" xfId="0" applyFont="1" applyFill="1" applyBorder="1" applyAlignment="1">
      <alignment horizontal="left"/>
    </xf>
    <xf numFmtId="0" fontId="132" fillId="28" borderId="109" xfId="0" applyFont="1" applyFill="1" applyBorder="1" applyAlignment="1">
      <alignment horizontal="right"/>
    </xf>
    <xf numFmtId="0" fontId="10" fillId="27" borderId="109" xfId="0" applyFont="1" applyFill="1" applyBorder="1" applyAlignment="1">
      <alignment horizontal="right"/>
    </xf>
    <xf numFmtId="0" fontId="51" fillId="27" borderId="109" xfId="0" applyFont="1" applyFill="1" applyBorder="1" applyAlignment="1">
      <alignment horizontal="right"/>
    </xf>
    <xf numFmtId="0" fontId="51" fillId="27" borderId="110" xfId="0" applyFont="1" applyFill="1" applyBorder="1" applyAlignment="1">
      <alignment horizontal="right"/>
    </xf>
    <xf numFmtId="15" fontId="132" fillId="27" borderId="0" xfId="0" applyNumberFormat="1" applyFont="1" applyFill="1" applyAlignment="1">
      <alignment horizontal="right"/>
    </xf>
    <xf numFmtId="0" fontId="132" fillId="27" borderId="0" xfId="0" applyFont="1" applyFill="1" applyAlignment="1">
      <alignment horizontal="right" wrapText="1"/>
    </xf>
    <xf numFmtId="3" fontId="132" fillId="27" borderId="0" xfId="0" applyNumberFormat="1" applyFont="1" applyFill="1" applyAlignment="1">
      <alignment horizontal="right" wrapText="1"/>
    </xf>
    <xf numFmtId="9" fontId="0" fillId="0" borderId="0" xfId="25" applyFont="1"/>
    <xf numFmtId="4" fontId="132" fillId="27" borderId="0" xfId="0" applyNumberFormat="1" applyFont="1" applyFill="1" applyAlignment="1">
      <alignment horizontal="right" wrapText="1"/>
    </xf>
    <xf numFmtId="181" fontId="2" fillId="0" borderId="0" xfId="66" applyNumberFormat="1" applyFont="1" applyBorder="1" applyAlignment="1">
      <alignment horizontal="right"/>
    </xf>
    <xf numFmtId="181" fontId="2" fillId="0" borderId="0" xfId="66" applyNumberFormat="1" applyBorder="1" applyAlignment="1">
      <alignment horizontal="right"/>
    </xf>
    <xf numFmtId="181" fontId="2" fillId="0" borderId="0" xfId="34" applyNumberFormat="1"/>
    <xf numFmtId="176" fontId="39" fillId="0" borderId="0" xfId="0" applyNumberFormat="1" applyFont="1" applyFill="1" applyBorder="1"/>
    <xf numFmtId="181" fontId="2" fillId="0" borderId="0" xfId="35" applyNumberFormat="1" applyFont="1" applyAlignment="1">
      <alignment horizontal="right"/>
    </xf>
    <xf numFmtId="181" fontId="2" fillId="0" borderId="0" xfId="35" applyNumberFormat="1" applyFont="1" applyBorder="1" applyAlignment="1">
      <alignment horizontal="right"/>
    </xf>
    <xf numFmtId="41" fontId="2" fillId="0" borderId="0" xfId="0" applyNumberFormat="1" applyFont="1"/>
    <xf numFmtId="0" fontId="131" fillId="0" borderId="8" xfId="0" applyNumberFormat="1" applyFont="1" applyBorder="1"/>
    <xf numFmtId="0" fontId="51" fillId="12" borderId="120" xfId="0" applyFont="1" applyFill="1" applyBorder="1" applyAlignment="1">
      <alignment horizontal="center" wrapText="1"/>
    </xf>
    <xf numFmtId="0" fontId="10" fillId="12" borderId="121" xfId="0" applyFont="1" applyFill="1" applyBorder="1" applyAlignment="1">
      <alignment horizontal="right"/>
    </xf>
    <xf numFmtId="0" fontId="10" fillId="12" borderId="122" xfId="0" applyFont="1" applyFill="1" applyBorder="1" applyAlignment="1">
      <alignment horizontal="right"/>
    </xf>
    <xf numFmtId="2" fontId="10" fillId="27" borderId="123" xfId="0" applyNumberFormat="1" applyFont="1" applyFill="1" applyBorder="1" applyAlignment="1">
      <alignment horizontal="right"/>
    </xf>
    <xf numFmtId="2" fontId="10" fillId="27" borderId="80" xfId="0" applyNumberFormat="1" applyFont="1" applyFill="1" applyBorder="1" applyAlignment="1">
      <alignment horizontal="right"/>
    </xf>
    <xf numFmtId="0" fontId="2" fillId="0" borderId="65" xfId="0" applyFont="1" applyBorder="1"/>
    <xf numFmtId="0" fontId="51" fillId="28" borderId="45" xfId="0" applyFont="1" applyFill="1" applyBorder="1" applyAlignment="1">
      <alignment horizontal="center" wrapText="1"/>
    </xf>
    <xf numFmtId="0" fontId="123" fillId="17" borderId="0" xfId="13" applyFont="1" applyFill="1" applyBorder="1" applyAlignment="1">
      <alignment horizontal="left"/>
    </xf>
    <xf numFmtId="4" fontId="0" fillId="0" borderId="16" xfId="24" applyFont="1" applyFill="1" applyBorder="1"/>
    <xf numFmtId="4" fontId="0" fillId="0" borderId="9" xfId="24" applyFont="1" applyFill="1" applyBorder="1"/>
    <xf numFmtId="4" fontId="0" fillId="0" borderId="11" xfId="24" applyFont="1" applyFill="1" applyBorder="1"/>
    <xf numFmtId="4" fontId="0" fillId="0" borderId="17" xfId="24" applyFont="1" applyFill="1" applyBorder="1"/>
    <xf numFmtId="4" fontId="0" fillId="0" borderId="0" xfId="24" applyFont="1" applyFill="1" applyBorder="1"/>
    <xf numFmtId="4" fontId="0" fillId="0" borderId="3" xfId="24" applyFont="1" applyFill="1" applyBorder="1"/>
    <xf numFmtId="4" fontId="13" fillId="0" borderId="0" xfId="24" applyFont="1" applyFill="1" applyBorder="1"/>
    <xf numFmtId="4" fontId="0" fillId="0" borderId="18" xfId="24" applyFont="1" applyFill="1" applyBorder="1"/>
    <xf numFmtId="4" fontId="0" fillId="0" borderId="8" xfId="24" applyFont="1" applyFill="1" applyBorder="1"/>
    <xf numFmtId="4" fontId="0" fillId="0" borderId="12" xfId="24" applyFont="1" applyFill="1" applyBorder="1"/>
    <xf numFmtId="44" fontId="47" fillId="0" borderId="0" xfId="26" applyFont="1" applyFill="1" applyAlignment="1">
      <alignment horizontal="right"/>
    </xf>
    <xf numFmtId="0" fontId="7" fillId="0" borderId="0" xfId="0" applyFont="1" applyAlignment="1">
      <alignment wrapText="1"/>
    </xf>
    <xf numFmtId="182" fontId="128" fillId="5" borderId="0" xfId="25" applyNumberFormat="1" applyFont="1" applyFill="1"/>
    <xf numFmtId="182" fontId="9" fillId="0" borderId="53" xfId="25" applyNumberFormat="1" applyFont="1" applyBorder="1"/>
    <xf numFmtId="0" fontId="2" fillId="0" borderId="0" xfId="0" applyFont="1" applyFill="1" applyAlignment="1">
      <alignment horizontal="centerContinuous"/>
    </xf>
    <xf numFmtId="2" fontId="9" fillId="0" borderId="0" xfId="0" applyNumberFormat="1" applyFont="1"/>
    <xf numFmtId="172" fontId="7" fillId="0" borderId="11" xfId="0" applyNumberFormat="1" applyFont="1" applyFill="1" applyBorder="1"/>
    <xf numFmtId="41" fontId="127" fillId="0" borderId="0" xfId="0" applyNumberFormat="1" applyFont="1" applyBorder="1"/>
    <xf numFmtId="41" fontId="153" fillId="0" borderId="6" xfId="0" applyNumberFormat="1" applyFont="1" applyBorder="1"/>
    <xf numFmtId="41" fontId="153" fillId="0" borderId="4" xfId="0" applyNumberFormat="1" applyFont="1" applyBorder="1"/>
    <xf numFmtId="184" fontId="153" fillId="0" borderId="5" xfId="0" applyNumberFormat="1" applyFont="1" applyBorder="1"/>
    <xf numFmtId="41" fontId="2" fillId="0" borderId="0" xfId="0" quotePrefix="1" applyNumberFormat="1" applyFont="1"/>
    <xf numFmtId="0" fontId="51" fillId="27" borderId="0" xfId="0" applyFont="1" applyFill="1" applyBorder="1" applyAlignment="1">
      <alignment horizontal="right"/>
    </xf>
    <xf numFmtId="0" fontId="10" fillId="27" borderId="110" xfId="0" applyFont="1" applyFill="1" applyBorder="1" applyAlignment="1">
      <alignment horizontal="right"/>
    </xf>
    <xf numFmtId="0" fontId="156" fillId="0" borderId="0" xfId="0" applyFont="1"/>
    <xf numFmtId="0" fontId="156" fillId="27" borderId="106" xfId="0" applyFont="1" applyFill="1" applyBorder="1" applyAlignment="1">
      <alignment horizontal="left"/>
    </xf>
    <xf numFmtId="2" fontId="156" fillId="0" borderId="0" xfId="0" applyNumberFormat="1" applyFont="1"/>
    <xf numFmtId="9" fontId="156" fillId="0" borderId="0" xfId="25" applyFont="1"/>
    <xf numFmtId="0" fontId="156" fillId="27" borderId="108" xfId="0" applyFont="1" applyFill="1" applyBorder="1" applyAlignment="1">
      <alignment horizontal="left"/>
    </xf>
    <xf numFmtId="0" fontId="156" fillId="27" borderId="124" xfId="0" applyFont="1" applyFill="1" applyBorder="1" applyAlignment="1">
      <alignment horizontal="left"/>
    </xf>
    <xf numFmtId="0" fontId="1" fillId="6" borderId="0" xfId="83" applyFill="1"/>
    <xf numFmtId="0" fontId="1" fillId="0" borderId="40" xfId="83" applyFill="1" applyBorder="1"/>
    <xf numFmtId="0" fontId="1" fillId="0" borderId="1" xfId="83" applyFill="1" applyBorder="1"/>
    <xf numFmtId="0" fontId="1" fillId="0" borderId="39" xfId="83" applyFill="1" applyBorder="1"/>
    <xf numFmtId="0" fontId="1" fillId="0" borderId="33" xfId="83" applyFill="1" applyBorder="1"/>
    <xf numFmtId="0" fontId="1" fillId="0" borderId="0" xfId="83" applyFill="1" applyBorder="1"/>
    <xf numFmtId="0" fontId="1" fillId="0" borderId="32" xfId="83" applyFill="1" applyBorder="1"/>
    <xf numFmtId="0" fontId="158" fillId="0" borderId="0" xfId="83" applyFont="1" applyFill="1" applyBorder="1" applyAlignment="1">
      <alignment horizontal="center" vertical="center" wrapText="1"/>
    </xf>
    <xf numFmtId="0" fontId="158" fillId="24" borderId="0" xfId="83" applyFont="1" applyFill="1" applyBorder="1" applyAlignment="1">
      <alignment horizontal="center"/>
    </xf>
    <xf numFmtId="0" fontId="158" fillId="0" borderId="0" xfId="83" applyFont="1" applyFill="1" applyBorder="1" applyAlignment="1">
      <alignment horizontal="center"/>
    </xf>
    <xf numFmtId="0" fontId="160" fillId="0" borderId="0" xfId="84" applyFont="1" applyFill="1" applyBorder="1" applyAlignment="1"/>
    <xf numFmtId="0" fontId="159" fillId="0" borderId="0" xfId="84" applyFill="1" applyBorder="1"/>
    <xf numFmtId="0" fontId="161" fillId="0" borderId="0" xfId="84" applyFont="1" applyFill="1" applyBorder="1"/>
    <xf numFmtId="0" fontId="161" fillId="0" borderId="0" xfId="84" applyFont="1" applyFill="1" applyBorder="1" applyAlignment="1"/>
    <xf numFmtId="0" fontId="157" fillId="0" borderId="33" xfId="83" applyFont="1" applyFill="1" applyBorder="1" applyAlignment="1">
      <alignment wrapText="1"/>
    </xf>
    <xf numFmtId="0" fontId="157" fillId="0" borderId="0" xfId="83" applyFont="1" applyFill="1" applyBorder="1" applyAlignment="1">
      <alignment wrapText="1"/>
    </xf>
    <xf numFmtId="0" fontId="159" fillId="0" borderId="0" xfId="84" applyFill="1" applyBorder="1" applyAlignment="1">
      <alignment wrapText="1"/>
    </xf>
    <xf numFmtId="0" fontId="1" fillId="0" borderId="31" xfId="83" applyFill="1" applyBorder="1"/>
    <xf numFmtId="0" fontId="1" fillId="0" borderId="7" xfId="83" applyFill="1" applyBorder="1"/>
    <xf numFmtId="0" fontId="1" fillId="0" borderId="30" xfId="83" applyFill="1" applyBorder="1"/>
    <xf numFmtId="0" fontId="161" fillId="0" borderId="0" xfId="84" applyFont="1" applyFill="1" applyBorder="1" applyAlignment="1">
      <alignment wrapText="1"/>
    </xf>
    <xf numFmtId="0" fontId="158" fillId="0" borderId="0" xfId="83" applyFont="1" applyFill="1" applyBorder="1" applyAlignment="1">
      <alignment horizontal="center" vertical="center" wrapText="1"/>
    </xf>
    <xf numFmtId="0" fontId="154" fillId="0" borderId="0" xfId="0" applyFont="1" applyAlignment="1">
      <alignment horizontal="center"/>
    </xf>
    <xf numFmtId="2" fontId="154" fillId="0" borderId="0" xfId="0" applyNumberFormat="1" applyFont="1" applyAlignment="1">
      <alignment horizontal="center"/>
    </xf>
    <xf numFmtId="0" fontId="155" fillId="0" borderId="0" xfId="0" applyFont="1" applyAlignment="1">
      <alignment horizontal="center"/>
    </xf>
    <xf numFmtId="0" fontId="117" fillId="20" borderId="40" xfId="13" applyFont="1" applyFill="1" applyBorder="1" applyAlignment="1">
      <alignment horizontal="center" vertical="center"/>
    </xf>
    <xf numFmtId="0" fontId="117" fillId="20" borderId="1" xfId="13" applyFont="1" applyFill="1" applyBorder="1" applyAlignment="1">
      <alignment horizontal="center" vertical="center"/>
    </xf>
    <xf numFmtId="0" fontId="117" fillId="20" borderId="39" xfId="13" applyFont="1" applyFill="1" applyBorder="1" applyAlignment="1">
      <alignment horizontal="center" vertical="center"/>
    </xf>
    <xf numFmtId="0" fontId="19" fillId="20" borderId="33" xfId="13" applyFont="1" applyFill="1" applyBorder="1" applyAlignment="1">
      <alignment horizontal="center"/>
    </xf>
    <xf numFmtId="0" fontId="19" fillId="20" borderId="0" xfId="13" applyFont="1" applyFill="1" applyBorder="1" applyAlignment="1">
      <alignment horizontal="center"/>
    </xf>
    <xf numFmtId="0" fontId="123" fillId="17" borderId="17" xfId="13" applyFont="1" applyFill="1" applyBorder="1" applyAlignment="1">
      <alignment horizontal="left"/>
    </xf>
    <xf numFmtId="0" fontId="123" fillId="17" borderId="0" xfId="13" applyFont="1" applyFill="1" applyBorder="1" applyAlignment="1">
      <alignment horizontal="left"/>
    </xf>
    <xf numFmtId="0" fontId="123" fillId="17" borderId="3" xfId="13" applyFont="1" applyFill="1" applyBorder="1" applyAlignment="1">
      <alignment horizontal="left"/>
    </xf>
    <xf numFmtId="0" fontId="122" fillId="17" borderId="17" xfId="13" applyFont="1" applyFill="1" applyBorder="1" applyAlignment="1">
      <alignment horizontal="left"/>
    </xf>
    <xf numFmtId="0" fontId="122" fillId="17" borderId="0" xfId="13" applyFont="1" applyFill="1" applyBorder="1" applyAlignment="1">
      <alignment horizontal="left"/>
    </xf>
    <xf numFmtId="0" fontId="122" fillId="17" borderId="3" xfId="13" applyFont="1" applyFill="1" applyBorder="1" applyAlignment="1">
      <alignment horizontal="left"/>
    </xf>
    <xf numFmtId="41" fontId="129" fillId="26" borderId="0" xfId="0" applyNumberFormat="1" applyFont="1" applyFill="1" applyAlignment="1">
      <alignment horizontal="center"/>
    </xf>
    <xf numFmtId="184" fontId="130" fillId="0" borderId="40" xfId="0" applyNumberFormat="1" applyFont="1" applyBorder="1" applyAlignment="1">
      <alignment horizontal="center"/>
    </xf>
    <xf numFmtId="184" fontId="130" fillId="0" borderId="39" xfId="0" applyNumberFormat="1" applyFont="1" applyBorder="1" applyAlignment="1">
      <alignment horizontal="center"/>
    </xf>
    <xf numFmtId="41" fontId="127" fillId="0" borderId="0" xfId="0" applyNumberFormat="1" applyFont="1" applyAlignment="1">
      <alignment horizontal="center"/>
    </xf>
    <xf numFmtId="0" fontId="116" fillId="20" borderId="33" xfId="13" applyFont="1" applyFill="1" applyBorder="1" applyAlignment="1">
      <alignment horizontal="center" vertical="center"/>
    </xf>
    <xf numFmtId="0" fontId="116" fillId="20" borderId="0" xfId="13" applyFont="1" applyFill="1" applyBorder="1" applyAlignment="1">
      <alignment horizontal="center" vertical="center"/>
    </xf>
    <xf numFmtId="0" fontId="116" fillId="20" borderId="32" xfId="13" applyFont="1" applyFill="1" applyBorder="1" applyAlignment="1">
      <alignment horizontal="center" vertical="center"/>
    </xf>
    <xf numFmtId="49" fontId="111" fillId="17" borderId="33" xfId="13" applyNumberFormat="1" applyFont="1" applyFill="1" applyBorder="1" applyAlignment="1">
      <alignment horizontal="center"/>
    </xf>
    <xf numFmtId="49" fontId="111" fillId="17" borderId="0" xfId="13" applyNumberFormat="1" applyFont="1" applyFill="1" applyBorder="1" applyAlignment="1">
      <alignment horizontal="center"/>
    </xf>
    <xf numFmtId="49" fontId="111" fillId="17" borderId="32" xfId="13" applyNumberFormat="1" applyFont="1" applyFill="1" applyBorder="1" applyAlignment="1">
      <alignment horizontal="center"/>
    </xf>
    <xf numFmtId="0" fontId="114" fillId="17" borderId="33" xfId="13" applyFont="1" applyFill="1" applyBorder="1" applyAlignment="1">
      <alignment horizontal="left"/>
    </xf>
    <xf numFmtId="0" fontId="114" fillId="17" borderId="0" xfId="13" applyFont="1" applyFill="1" applyBorder="1" applyAlignment="1">
      <alignment horizontal="left"/>
    </xf>
    <xf numFmtId="0" fontId="114" fillId="17" borderId="32" xfId="13" applyFont="1" applyFill="1" applyBorder="1" applyAlignment="1">
      <alignment horizontal="left"/>
    </xf>
    <xf numFmtId="0" fontId="102" fillId="13" borderId="33" xfId="23" applyFont="1" applyFill="1" applyBorder="1" applyAlignment="1">
      <alignment horizontal="center" wrapText="1"/>
    </xf>
    <xf numFmtId="0" fontId="102" fillId="13" borderId="31" xfId="23" applyFont="1" applyFill="1" applyBorder="1" applyAlignment="1">
      <alignment horizontal="center" wrapText="1"/>
    </xf>
    <xf numFmtId="0" fontId="9" fillId="10" borderId="8" xfId="23" applyFont="1" applyFill="1" applyBorder="1" applyAlignment="1">
      <alignment horizontal="center"/>
    </xf>
    <xf numFmtId="0" fontId="9" fillId="16" borderId="1" xfId="23" applyFont="1" applyFill="1" applyBorder="1" applyAlignment="1">
      <alignment horizontal="center"/>
    </xf>
    <xf numFmtId="0" fontId="9" fillId="16" borderId="39" xfId="23" applyFont="1" applyFill="1" applyBorder="1" applyAlignment="1">
      <alignment horizontal="center"/>
    </xf>
    <xf numFmtId="0" fontId="9" fillId="15" borderId="0" xfId="23" applyFont="1" applyFill="1" applyBorder="1" applyAlignment="1">
      <alignment horizontal="center"/>
    </xf>
    <xf numFmtId="0" fontId="9" fillId="15" borderId="32" xfId="23" applyFont="1" applyFill="1" applyBorder="1" applyAlignment="1">
      <alignment horizontal="center"/>
    </xf>
    <xf numFmtId="0" fontId="9" fillId="14" borderId="33" xfId="23" applyFont="1" applyFill="1" applyBorder="1" applyAlignment="1">
      <alignment horizontal="center" vertical="center"/>
    </xf>
    <xf numFmtId="0" fontId="9" fillId="14" borderId="31" xfId="23" applyFont="1" applyFill="1" applyBorder="1" applyAlignment="1">
      <alignment horizontal="center" vertical="center"/>
    </xf>
    <xf numFmtId="0" fontId="9" fillId="14" borderId="0" xfId="23" applyFont="1" applyFill="1" applyBorder="1" applyAlignment="1">
      <alignment horizontal="right" vertical="center"/>
    </xf>
    <xf numFmtId="0" fontId="9" fillId="14" borderId="7" xfId="23" applyFont="1" applyFill="1" applyBorder="1" applyAlignment="1">
      <alignment horizontal="right" vertical="center"/>
    </xf>
    <xf numFmtId="0" fontId="9" fillId="10" borderId="0" xfId="23" applyFont="1" applyFill="1" applyBorder="1" applyAlignment="1">
      <alignment horizontal="center"/>
    </xf>
    <xf numFmtId="0" fontId="14" fillId="0" borderId="0" xfId="23" applyBorder="1" applyAlignment="1">
      <alignment horizontal="center"/>
    </xf>
    <xf numFmtId="0" fontId="99" fillId="0" borderId="86" xfId="23" applyFont="1" applyBorder="1" applyAlignment="1">
      <alignment horizontal="center"/>
    </xf>
    <xf numFmtId="0" fontId="99" fillId="0" borderId="85" xfId="23" applyFont="1" applyBorder="1" applyAlignment="1">
      <alignment horizontal="center"/>
    </xf>
    <xf numFmtId="41" fontId="104" fillId="0" borderId="40" xfId="23" applyNumberFormat="1" applyFont="1" applyFill="1" applyBorder="1" applyAlignment="1">
      <alignment horizontal="center"/>
    </xf>
    <xf numFmtId="41" fontId="104" fillId="0" borderId="1" xfId="23" applyNumberFormat="1" applyFont="1" applyFill="1" applyBorder="1" applyAlignment="1">
      <alignment horizontal="center"/>
    </xf>
    <xf numFmtId="41" fontId="104" fillId="0" borderId="39" xfId="23" applyNumberFormat="1" applyFont="1" applyFill="1" applyBorder="1" applyAlignment="1">
      <alignment horizontal="center"/>
    </xf>
    <xf numFmtId="41" fontId="104" fillId="0" borderId="31" xfId="23" applyNumberFormat="1" applyFont="1" applyFill="1" applyBorder="1" applyAlignment="1">
      <alignment horizontal="center"/>
    </xf>
    <xf numFmtId="41" fontId="104" fillId="0" borderId="7" xfId="23" applyNumberFormat="1" applyFont="1" applyFill="1" applyBorder="1" applyAlignment="1">
      <alignment horizontal="center"/>
    </xf>
    <xf numFmtId="41" fontId="104" fillId="0" borderId="30" xfId="23" applyNumberFormat="1" applyFont="1" applyFill="1" applyBorder="1" applyAlignment="1">
      <alignment horizontal="center"/>
    </xf>
    <xf numFmtId="0" fontId="9" fillId="15" borderId="40" xfId="23" applyFont="1" applyFill="1" applyBorder="1" applyAlignment="1">
      <alignment horizontal="center"/>
    </xf>
    <xf numFmtId="0" fontId="9" fillId="15" borderId="39" xfId="23" applyFont="1" applyFill="1" applyBorder="1" applyAlignment="1">
      <alignment horizontal="center"/>
    </xf>
    <xf numFmtId="0" fontId="102" fillId="13" borderId="0" xfId="23" applyFont="1" applyFill="1" applyBorder="1" applyAlignment="1">
      <alignment horizontal="center" wrapText="1"/>
    </xf>
    <xf numFmtId="0" fontId="102" fillId="13" borderId="7" xfId="23" applyFont="1" applyFill="1" applyBorder="1" applyAlignment="1">
      <alignment horizontal="center" wrapText="1"/>
    </xf>
    <xf numFmtId="0" fontId="107" fillId="0" borderId="0" xfId="23" applyFont="1" applyAlignment="1">
      <alignment horizontal="left" wrapText="1"/>
    </xf>
    <xf numFmtId="0" fontId="105" fillId="0" borderId="0" xfId="23" applyFont="1" applyAlignment="1">
      <alignment horizontal="left" wrapText="1"/>
    </xf>
    <xf numFmtId="0" fontId="25" fillId="17" borderId="31" xfId="13" applyFont="1" applyFill="1" applyBorder="1" applyAlignment="1">
      <alignment horizontal="center"/>
    </xf>
    <xf numFmtId="0" fontId="25" fillId="17" borderId="7" xfId="13" applyFont="1" applyFill="1" applyBorder="1" applyAlignment="1">
      <alignment horizontal="center"/>
    </xf>
    <xf numFmtId="0" fontId="25" fillId="17" borderId="30" xfId="13" applyFont="1" applyFill="1" applyBorder="1" applyAlignment="1">
      <alignment horizontal="center"/>
    </xf>
    <xf numFmtId="0" fontId="14" fillId="17" borderId="0" xfId="13" applyFont="1" applyFill="1" applyAlignment="1">
      <alignment horizontal="left"/>
    </xf>
    <xf numFmtId="0" fontId="14" fillId="17" borderId="0" xfId="13" applyFill="1" applyAlignment="1">
      <alignment horizontal="left"/>
    </xf>
    <xf numFmtId="0" fontId="124" fillId="20" borderId="40" xfId="13" applyFont="1" applyFill="1" applyBorder="1" applyAlignment="1">
      <alignment horizontal="center" vertical="center"/>
    </xf>
    <xf numFmtId="0" fontId="124" fillId="20" borderId="39" xfId="13" applyFont="1" applyFill="1" applyBorder="1" applyAlignment="1">
      <alignment horizontal="center" vertical="center"/>
    </xf>
    <xf numFmtId="0" fontId="124" fillId="20" borderId="1" xfId="13" applyFont="1" applyFill="1" applyBorder="1" applyAlignment="1">
      <alignment horizontal="center" vertical="center"/>
    </xf>
  </cellXfs>
  <cellStyles count="85">
    <cellStyle name="_x000a_bidires=100_x000d_" xfId="35" xr:uid="{00000000-0005-0000-0000-000000000000}"/>
    <cellStyle name="20% - Accent1 2" xfId="43" xr:uid="{00000000-0005-0000-0000-000001000000}"/>
    <cellStyle name="20% - Accent2 2" xfId="42" xr:uid="{00000000-0005-0000-0000-000002000000}"/>
    <cellStyle name="20% - Accent3 2" xfId="41" xr:uid="{00000000-0005-0000-0000-000003000000}"/>
    <cellStyle name="20% - Accent4 2" xfId="40" xr:uid="{00000000-0005-0000-0000-000004000000}"/>
    <cellStyle name="20% - Accent5 2" xfId="39" xr:uid="{00000000-0005-0000-0000-000005000000}"/>
    <cellStyle name="20% - Accent6 2" xfId="38" xr:uid="{00000000-0005-0000-0000-000006000000}"/>
    <cellStyle name="40% - Accent1 2" xfId="45" xr:uid="{00000000-0005-0000-0000-000007000000}"/>
    <cellStyle name="40% - Accent2 2" xfId="46" xr:uid="{00000000-0005-0000-0000-000008000000}"/>
    <cellStyle name="40% - Accent3 2" xfId="47" xr:uid="{00000000-0005-0000-0000-000009000000}"/>
    <cellStyle name="40% - Accent4 2" xfId="48" xr:uid="{00000000-0005-0000-0000-00000A000000}"/>
    <cellStyle name="40% - Accent5 2" xfId="49" xr:uid="{00000000-0005-0000-0000-00000B000000}"/>
    <cellStyle name="40% - Accent6 2" xfId="50" xr:uid="{00000000-0005-0000-0000-00000C000000}"/>
    <cellStyle name="60% - Accent1 2" xfId="51" xr:uid="{00000000-0005-0000-0000-00000D000000}"/>
    <cellStyle name="60% - Accent2 2" xfId="52" xr:uid="{00000000-0005-0000-0000-00000E000000}"/>
    <cellStyle name="60% - Accent3 2" xfId="53" xr:uid="{00000000-0005-0000-0000-00000F000000}"/>
    <cellStyle name="60% - Accent4 2" xfId="54" xr:uid="{00000000-0005-0000-0000-000010000000}"/>
    <cellStyle name="60% - Accent5 2" xfId="55" xr:uid="{00000000-0005-0000-0000-000011000000}"/>
    <cellStyle name="60% - Accent6 2" xfId="56" xr:uid="{00000000-0005-0000-0000-000012000000}"/>
    <cellStyle name="Accent1 2" xfId="57" xr:uid="{00000000-0005-0000-0000-000013000000}"/>
    <cellStyle name="Accent2 2" xfId="58" xr:uid="{00000000-0005-0000-0000-000014000000}"/>
    <cellStyle name="Accent3 2" xfId="59" xr:uid="{00000000-0005-0000-0000-000015000000}"/>
    <cellStyle name="Accent4 2" xfId="60" xr:uid="{00000000-0005-0000-0000-000016000000}"/>
    <cellStyle name="Accent5 2" xfId="61" xr:uid="{00000000-0005-0000-0000-000017000000}"/>
    <cellStyle name="Accent6 2" xfId="62" xr:uid="{00000000-0005-0000-0000-000018000000}"/>
    <cellStyle name="Bad 2" xfId="63" xr:uid="{00000000-0005-0000-0000-000019000000}"/>
    <cellStyle name="c_HardInc " xfId="1" xr:uid="{00000000-0005-0000-0000-00001A000000}"/>
    <cellStyle name="Calculation 2" xfId="64" xr:uid="{00000000-0005-0000-0000-00001B000000}"/>
    <cellStyle name="Check Cell 2" xfId="65" xr:uid="{00000000-0005-0000-0000-00001C000000}"/>
    <cellStyle name="Comma" xfId="24" builtinId="3"/>
    <cellStyle name="Comma  - Style1" xfId="30" xr:uid="{00000000-0005-0000-0000-00001E000000}"/>
    <cellStyle name="Comma 2" xfId="29" xr:uid="{00000000-0005-0000-0000-00001F000000}"/>
    <cellStyle name="Comma 3" xfId="37" xr:uid="{00000000-0005-0000-0000-000020000000}"/>
    <cellStyle name="Comma 4" xfId="66" xr:uid="{00000000-0005-0000-0000-000021000000}"/>
    <cellStyle name="Comma 5" xfId="82" xr:uid="{00000000-0005-0000-0000-000022000000}"/>
    <cellStyle name="Comma0" xfId="4" xr:uid="{00000000-0005-0000-0000-000023000000}"/>
    <cellStyle name="Curren - Style2" xfId="31" xr:uid="{00000000-0005-0000-0000-000024000000}"/>
    <cellStyle name="Currency" xfId="26" builtinId="4"/>
    <cellStyle name="Currency0" xfId="5" xr:uid="{00000000-0005-0000-0000-000026000000}"/>
    <cellStyle name="Date" xfId="6" xr:uid="{00000000-0005-0000-0000-000027000000}"/>
    <cellStyle name="Explanatory Text 2" xfId="67" xr:uid="{00000000-0005-0000-0000-000028000000}"/>
    <cellStyle name="Fixed" xfId="7" xr:uid="{00000000-0005-0000-0000-000029000000}"/>
    <cellStyle name="Good 2" xfId="68" xr:uid="{00000000-0005-0000-0000-00002A000000}"/>
    <cellStyle name="Heading 1 2" xfId="69" xr:uid="{00000000-0005-0000-0000-00002B000000}"/>
    <cellStyle name="Heading 2 2" xfId="70" xr:uid="{00000000-0005-0000-0000-00002C000000}"/>
    <cellStyle name="Heading 3 2" xfId="71" xr:uid="{00000000-0005-0000-0000-00002D000000}"/>
    <cellStyle name="Heading 4 2" xfId="72" xr:uid="{00000000-0005-0000-0000-00002E000000}"/>
    <cellStyle name="Hyperlink" xfId="27" builtinId="8"/>
    <cellStyle name="Hyperlink 2" xfId="32" xr:uid="{00000000-0005-0000-0000-000030000000}"/>
    <cellStyle name="Hyperlink 3" xfId="84" xr:uid="{00000000-0005-0000-0000-000031000000}"/>
    <cellStyle name="Input 2" xfId="73" xr:uid="{00000000-0005-0000-0000-000032000000}"/>
    <cellStyle name="Linked Cell 2" xfId="74" xr:uid="{00000000-0005-0000-0000-000033000000}"/>
    <cellStyle name="Neutral 2" xfId="75" xr:uid="{00000000-0005-0000-0000-000034000000}"/>
    <cellStyle name="Normal" xfId="0" builtinId="0"/>
    <cellStyle name="Normal - Style3" xfId="33" xr:uid="{00000000-0005-0000-0000-000036000000}"/>
    <cellStyle name="Normal 10" xfId="8" xr:uid="{00000000-0005-0000-0000-000037000000}"/>
    <cellStyle name="Normal 11" xfId="9" xr:uid="{00000000-0005-0000-0000-000038000000}"/>
    <cellStyle name="Normal 12" xfId="10" xr:uid="{00000000-0005-0000-0000-000039000000}"/>
    <cellStyle name="Normal 13" xfId="11" xr:uid="{00000000-0005-0000-0000-00003A000000}"/>
    <cellStyle name="Normal 13 2" xfId="12" xr:uid="{00000000-0005-0000-0000-00003B000000}"/>
    <cellStyle name="Normal 14" xfId="3" xr:uid="{00000000-0005-0000-0000-00003C000000}"/>
    <cellStyle name="Normal 15" xfId="13" xr:uid="{00000000-0005-0000-0000-00003D000000}"/>
    <cellStyle name="Normal 16" xfId="14" xr:uid="{00000000-0005-0000-0000-00003E000000}"/>
    <cellStyle name="Normal 17" xfId="23" xr:uid="{00000000-0005-0000-0000-00003F000000}"/>
    <cellStyle name="Normal 18" xfId="28" xr:uid="{00000000-0005-0000-0000-000040000000}"/>
    <cellStyle name="Normal 19" xfId="36" xr:uid="{00000000-0005-0000-0000-000041000000}"/>
    <cellStyle name="Normal 2" xfId="15" xr:uid="{00000000-0005-0000-0000-000042000000}"/>
    <cellStyle name="Normal 20" xfId="44" xr:uid="{00000000-0005-0000-0000-000043000000}"/>
    <cellStyle name="Normal 21" xfId="76" xr:uid="{00000000-0005-0000-0000-000044000000}"/>
    <cellStyle name="Normal 22" xfId="83" xr:uid="{00000000-0005-0000-0000-000045000000}"/>
    <cellStyle name="Normal 3" xfId="16" xr:uid="{00000000-0005-0000-0000-000046000000}"/>
    <cellStyle name="Normal 4" xfId="17" xr:uid="{00000000-0005-0000-0000-000047000000}"/>
    <cellStyle name="Normal 5" xfId="18" xr:uid="{00000000-0005-0000-0000-000048000000}"/>
    <cellStyle name="Normal 6" xfId="19" xr:uid="{00000000-0005-0000-0000-000049000000}"/>
    <cellStyle name="Normal 7" xfId="20" xr:uid="{00000000-0005-0000-0000-00004A000000}"/>
    <cellStyle name="Normal 8" xfId="21" xr:uid="{00000000-0005-0000-0000-00004B000000}"/>
    <cellStyle name="Normal 9" xfId="22" xr:uid="{00000000-0005-0000-0000-00004C000000}"/>
    <cellStyle name="Normal_ESTIMATES&amp;PEs" xfId="34" xr:uid="{00000000-0005-0000-0000-00004D000000}"/>
    <cellStyle name="Note 2" xfId="77" xr:uid="{00000000-0005-0000-0000-00004E000000}"/>
    <cellStyle name="Output 2" xfId="78" xr:uid="{00000000-0005-0000-0000-00004F000000}"/>
    <cellStyle name="Percent" xfId="25" builtinId="5"/>
    <cellStyle name="s_HardInc " xfId="2" xr:uid="{00000000-0005-0000-0000-000051000000}"/>
    <cellStyle name="Title 2" xfId="79" xr:uid="{00000000-0005-0000-0000-000052000000}"/>
    <cellStyle name="Total 2" xfId="80" xr:uid="{00000000-0005-0000-0000-000053000000}"/>
    <cellStyle name="Warning Text 2" xfId="81" xr:uid="{00000000-0005-0000-0000-000054000000}"/>
  </cellStyles>
  <dxfs count="15">
    <dxf>
      <fill>
        <patternFill>
          <bgColor indexed="43"/>
        </patternFill>
      </fill>
    </dxf>
    <dxf>
      <font>
        <b/>
        <i val="0"/>
        <condense val="0"/>
        <extend val="0"/>
        <color indexed="10"/>
      </font>
      <fill>
        <patternFill>
          <bgColor indexed="43"/>
        </patternFill>
      </fill>
    </dxf>
    <dxf>
      <font>
        <b/>
        <i val="0"/>
        <condense val="0"/>
        <extend val="0"/>
        <color indexed="10"/>
      </font>
      <fill>
        <patternFill>
          <bgColor indexed="43"/>
        </patternFill>
      </fill>
    </dxf>
    <dxf>
      <font>
        <b val="0"/>
        <i val="0"/>
        <strike val="0"/>
        <condense val="0"/>
        <extend val="0"/>
        <outline val="0"/>
        <shadow val="0"/>
        <u val="none"/>
        <vertAlign val="baseline"/>
        <sz val="10"/>
        <color auto="1"/>
        <name val="Arial"/>
        <scheme val="none"/>
      </font>
      <numFmt numFmtId="181" formatCode="&quot;$&quot;#,##0.00"/>
      <alignment horizontal="right" vertical="bottom" textRotation="0" wrapText="0" relativeIndent="0" justifyLastLine="0" shrinkToFit="0" readingOrder="0"/>
    </dxf>
    <dxf>
      <font>
        <b val="0"/>
        <i val="0"/>
        <strike val="0"/>
        <condense val="0"/>
        <extend val="0"/>
        <outline val="0"/>
        <shadow val="0"/>
        <u/>
        <vertAlign val="baseline"/>
        <sz val="10"/>
        <color auto="1"/>
        <name val="Arial"/>
        <scheme val="none"/>
      </font>
    </dxf>
    <dxf>
      <numFmt numFmtId="2" formatCode="0.00"/>
    </dxf>
    <dxf>
      <font>
        <b val="0"/>
        <i val="0"/>
        <strike val="0"/>
        <condense val="0"/>
        <extend val="0"/>
        <outline val="0"/>
        <shadow val="0"/>
        <u val="none"/>
        <vertAlign val="baseline"/>
        <sz val="10"/>
        <color auto="1"/>
        <name val="Arial"/>
        <scheme val="none"/>
      </font>
    </dxf>
    <dxf>
      <font>
        <b val="0"/>
        <i val="0"/>
        <strike val="0"/>
        <condense val="0"/>
        <extend val="0"/>
        <outline val="0"/>
        <shadow val="0"/>
        <u/>
        <vertAlign val="baseline"/>
        <sz val="10"/>
        <color auto="1"/>
        <name val="Arial"/>
        <scheme val="none"/>
      </font>
      <alignment horizontal="general" vertical="bottom" textRotation="0" wrapText="1" indent="0" justifyLastLine="0" shrinkToFit="0" readingOrder="0"/>
    </dxf>
    <dxf>
      <font>
        <strike val="0"/>
        <outline val="0"/>
        <shadow val="0"/>
        <u val="none"/>
        <vertAlign val="baseline"/>
        <sz val="11"/>
        <color auto="1"/>
        <name val="Arial"/>
        <scheme val="none"/>
      </font>
      <numFmt numFmtId="2" formatCode="0.00"/>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numFmt numFmtId="2" formatCode="0.00"/>
      <fill>
        <patternFill patternType="solid">
          <fgColor indexed="64"/>
          <bgColor rgb="FFFFFFFF"/>
        </patternFill>
      </fill>
      <alignment horizontal="right" vertical="bottom" textRotation="0" wrapText="0" relativeIndent="0" justifyLastLine="0" shrinkToFit="0" readingOrder="0"/>
      <border diagonalUp="0" diagonalDown="0" outline="0">
        <left style="medium">
          <color indexed="64"/>
        </left>
        <right style="medium">
          <color indexed="64"/>
        </right>
        <top/>
        <bottom/>
      </border>
    </dxf>
    <dxf>
      <font>
        <strike val="0"/>
        <outline val="0"/>
        <shadow val="0"/>
        <u val="none"/>
        <vertAlign val="baseline"/>
        <sz val="11"/>
        <color auto="1"/>
        <name val="Arial"/>
        <scheme val="none"/>
      </font>
      <border diagonalUp="0" diagonalDown="0" outline="0">
        <left style="medium">
          <color rgb="FFE6E6E6"/>
        </left>
        <top/>
      </border>
    </dxf>
    <dxf>
      <font>
        <b val="0"/>
        <i val="0"/>
        <strike val="0"/>
        <condense val="0"/>
        <extend val="0"/>
        <outline val="0"/>
        <shadow val="0"/>
        <u val="none"/>
        <vertAlign val="baseline"/>
        <sz val="11"/>
        <color auto="1"/>
        <name val="Arial"/>
        <scheme val="none"/>
      </font>
      <fill>
        <patternFill patternType="solid">
          <fgColor indexed="64"/>
          <bgColor rgb="FFFFFFFF"/>
        </patternFill>
      </fill>
      <alignment horizontal="left" vertical="bottom" textRotation="0" wrapText="0" relativeIndent="0" justifyLastLine="0" shrinkToFit="0" readingOrder="0"/>
      <border diagonalUp="0" diagonalDown="0" outline="0">
        <left style="medium">
          <color rgb="FFD4D0C8"/>
        </left>
        <right style="medium">
          <color rgb="FFE6E6E6"/>
        </right>
        <top/>
        <bottom/>
      </border>
    </dxf>
    <dxf>
      <font>
        <strike val="0"/>
        <outline val="0"/>
        <shadow val="0"/>
        <u val="none"/>
        <vertAlign val="baseline"/>
        <sz val="11"/>
        <color auto="1"/>
        <name val="Arial"/>
        <scheme val="none"/>
      </font>
    </dxf>
    <dxf>
      <font>
        <b val="0"/>
        <i val="0"/>
        <strike val="0"/>
        <condense val="0"/>
        <extend val="0"/>
        <outline val="0"/>
        <shadow val="0"/>
        <u val="none"/>
        <vertAlign val="baseline"/>
        <sz val="11"/>
        <color auto="1"/>
        <name val="Arial"/>
        <scheme val="none"/>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tyles" Target="styles.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externalLink" Target="externalLinks/externalLink1.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2010 - 2011 Quarterly Operating EPS</a:t>
            </a:r>
          </a:p>
        </c:rich>
      </c:tx>
      <c:overlay val="0"/>
    </c:title>
    <c:autoTitleDeleted val="0"/>
    <c:plotArea>
      <c:layout>
        <c:manualLayout>
          <c:layoutTarget val="inner"/>
          <c:xMode val="edge"/>
          <c:yMode val="edge"/>
          <c:x val="9.8219292355897797E-2"/>
          <c:y val="5.1400554097404502E-2"/>
          <c:w val="0.86453254389712697"/>
          <c:h val="0.79822506561679796"/>
        </c:manualLayout>
      </c:layout>
      <c:lineChart>
        <c:grouping val="standar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'CB-pf'!$W$9:$AD$9</c:f>
              <c:strCache>
                <c:ptCount val="8"/>
                <c:pt idx="0">
                  <c:v>2010 1Q</c:v>
                </c:pt>
                <c:pt idx="1">
                  <c:v>2010 2Q</c:v>
                </c:pt>
                <c:pt idx="2">
                  <c:v>2010 3Q</c:v>
                </c:pt>
                <c:pt idx="3">
                  <c:v>2010 4Q</c:v>
                </c:pt>
                <c:pt idx="4">
                  <c:v>2011 1Q</c:v>
                </c:pt>
                <c:pt idx="5">
                  <c:v>2011 2Q</c:v>
                </c:pt>
                <c:pt idx="6">
                  <c:v>2011 3Q</c:v>
                </c:pt>
                <c:pt idx="7">
                  <c:v>2011 4Q</c:v>
                </c:pt>
              </c:strCache>
            </c:strRef>
          </c:cat>
          <c:val>
            <c:numRef>
              <c:f>'CB-pf'!$W$10:$AD$10</c:f>
              <c:numCache>
                <c:formatCode>0.00</c:formatCode>
                <c:ptCount val="8"/>
                <c:pt idx="0">
                  <c:v>1.1399999999999999</c:v>
                </c:pt>
                <c:pt idx="1">
                  <c:v>1.41</c:v>
                </c:pt>
                <c:pt idx="2">
                  <c:v>1.69</c:v>
                </c:pt>
                <c:pt idx="3">
                  <c:v>1.69</c:v>
                </c:pt>
                <c:pt idx="4">
                  <c:v>1.1718919831223626</c:v>
                </c:pt>
                <c:pt idx="5">
                  <c:v>1.3265553662691654</c:v>
                </c:pt>
                <c:pt idx="6">
                  <c:v>1.3565993031358887</c:v>
                </c:pt>
                <c:pt idx="7">
                  <c:v>1.388035650623886</c:v>
                </c:pt>
              </c:numCache>
            </c:numRef>
          </c:val>
          <c:smooth val="0"/>
          <c:extLst>
            <c:ext xmlns:c16="http://schemas.microsoft.com/office/drawing/2014/chart" uri="{C3380CC4-5D6E-409C-BE32-E72D297353CC}">
              <c16:uniqueId val="{00000000-1BB3-AF42-8225-1AA32F643ACA}"/>
            </c:ext>
          </c:extLst>
        </c:ser>
        <c:dLbls>
          <c:showLegendKey val="0"/>
          <c:showVal val="0"/>
          <c:showCatName val="0"/>
          <c:showSerName val="0"/>
          <c:showPercent val="0"/>
          <c:showBubbleSize val="0"/>
        </c:dLbls>
        <c:marker val="1"/>
        <c:smooth val="0"/>
        <c:axId val="1834458544"/>
        <c:axId val="1823012320"/>
      </c:lineChart>
      <c:catAx>
        <c:axId val="1834458544"/>
        <c:scaling>
          <c:orientation val="minMax"/>
        </c:scaling>
        <c:delete val="0"/>
        <c:axPos val="b"/>
        <c:numFmt formatCode="General" sourceLinked="1"/>
        <c:majorTickMark val="out"/>
        <c:minorTickMark val="none"/>
        <c:tickLblPos val="nextTo"/>
        <c:crossAx val="1823012320"/>
        <c:crosses val="autoZero"/>
        <c:auto val="1"/>
        <c:lblAlgn val="ctr"/>
        <c:lblOffset val="100"/>
        <c:noMultiLvlLbl val="0"/>
      </c:catAx>
      <c:valAx>
        <c:axId val="1823012320"/>
        <c:scaling>
          <c:orientation val="minMax"/>
          <c:min val="1"/>
        </c:scaling>
        <c:delete val="0"/>
        <c:axPos val="l"/>
        <c:majorGridlines/>
        <c:numFmt formatCode="0.00" sourceLinked="1"/>
        <c:majorTickMark val="out"/>
        <c:minorTickMark val="none"/>
        <c:tickLblPos val="nextTo"/>
        <c:crossAx val="1834458544"/>
        <c:crosses val="autoZero"/>
        <c:crossBetween val="between"/>
      </c:valAx>
    </c:plotArea>
    <c:legend>
      <c:legendPos val="r"/>
      <c:layout>
        <c:manualLayout>
          <c:xMode val="edge"/>
          <c:yMode val="edge"/>
          <c:x val="0.115206500826741"/>
          <c:y val="0.71682470542246102"/>
          <c:w val="0.84109043746581202"/>
          <c:h val="0.103387129800264"/>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2007 - 2012 Annual EPS</a:t>
            </a:r>
          </a:p>
        </c:rich>
      </c:tx>
      <c:overlay val="1"/>
    </c:title>
    <c:autoTitleDeleted val="0"/>
    <c:plotArea>
      <c:layout>
        <c:manualLayout>
          <c:layoutTarget val="inner"/>
          <c:xMode val="edge"/>
          <c:yMode val="edge"/>
          <c:x val="8.88263657764439E-2"/>
          <c:y val="4.1273307379328501E-2"/>
          <c:w val="0.87462716129555995"/>
          <c:h val="0.83797997833914095"/>
        </c:manualLayout>
      </c:layout>
      <c:lineChart>
        <c:grouping val="stacked"/>
        <c:varyColors val="0"/>
        <c:ser>
          <c:idx val="0"/>
          <c:order val="0"/>
          <c:tx>
            <c:strRef>
              <c:f>'CB-pf'!$V$10</c:f>
              <c:strCache>
                <c:ptCount val="1"/>
                <c:pt idx="0">
                  <c:v>Op Inc/share (dil)</c:v>
                </c:pt>
              </c:strCache>
            </c:strRef>
          </c:tx>
          <c:dLbls>
            <c:spPr>
              <a:noFill/>
              <a:ln>
                <a:noFill/>
              </a:ln>
              <a:effectLst/>
            </c:sp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'CB-pf'!$W$17:$AB$17</c:f>
              <c:strCache>
                <c:ptCount val="6"/>
                <c:pt idx="0">
                  <c:v>2007</c:v>
                </c:pt>
                <c:pt idx="1">
                  <c:v>2008</c:v>
                </c:pt>
                <c:pt idx="2">
                  <c:v>2009</c:v>
                </c:pt>
                <c:pt idx="3">
                  <c:v>2010</c:v>
                </c:pt>
                <c:pt idx="4">
                  <c:v>2011 est</c:v>
                </c:pt>
                <c:pt idx="5">
                  <c:v>2012 est</c:v>
                </c:pt>
              </c:strCache>
            </c:strRef>
          </c:cat>
          <c:val>
            <c:numRef>
              <c:f>'CB-pf'!$W$18:$AB$18</c:f>
              <c:numCache>
                <c:formatCode>0.00</c:formatCode>
                <c:ptCount val="6"/>
                <c:pt idx="0">
                  <c:v>6.41</c:v>
                </c:pt>
                <c:pt idx="1">
                  <c:v>5.58</c:v>
                </c:pt>
                <c:pt idx="2">
                  <c:v>6.14</c:v>
                </c:pt>
                <c:pt idx="3">
                  <c:v>5.9</c:v>
                </c:pt>
                <c:pt idx="4">
                  <c:v>5.42</c:v>
                </c:pt>
                <c:pt idx="5">
                  <c:v>6.6327101369863026</c:v>
                </c:pt>
              </c:numCache>
            </c:numRef>
          </c:val>
          <c:smooth val="0"/>
          <c:extLst>
            <c:ext xmlns:c16="http://schemas.microsoft.com/office/drawing/2014/chart" uri="{C3380CC4-5D6E-409C-BE32-E72D297353CC}">
              <c16:uniqueId val="{00000000-4DC5-BE4B-B162-38EA654661E0}"/>
            </c:ext>
          </c:extLst>
        </c:ser>
        <c:dLbls>
          <c:showLegendKey val="0"/>
          <c:showVal val="0"/>
          <c:showCatName val="0"/>
          <c:showSerName val="0"/>
          <c:showPercent val="0"/>
          <c:showBubbleSize val="0"/>
        </c:dLbls>
        <c:marker val="1"/>
        <c:smooth val="0"/>
        <c:axId val="1797861920"/>
        <c:axId val="1797702448"/>
      </c:lineChart>
      <c:catAx>
        <c:axId val="1797861920"/>
        <c:scaling>
          <c:orientation val="minMax"/>
        </c:scaling>
        <c:delete val="0"/>
        <c:axPos val="b"/>
        <c:numFmt formatCode="General" sourceLinked="1"/>
        <c:majorTickMark val="out"/>
        <c:minorTickMark val="none"/>
        <c:tickLblPos val="nextTo"/>
        <c:crossAx val="1797702448"/>
        <c:crosses val="autoZero"/>
        <c:auto val="1"/>
        <c:lblAlgn val="ctr"/>
        <c:lblOffset val="100"/>
        <c:noMultiLvlLbl val="0"/>
      </c:catAx>
      <c:valAx>
        <c:axId val="1797702448"/>
        <c:scaling>
          <c:orientation val="minMax"/>
          <c:min val="5"/>
        </c:scaling>
        <c:delete val="0"/>
        <c:axPos val="l"/>
        <c:majorGridlines/>
        <c:numFmt formatCode="0.00" sourceLinked="1"/>
        <c:majorTickMark val="out"/>
        <c:minorTickMark val="none"/>
        <c:tickLblPos val="nextTo"/>
        <c:crossAx val="1797861920"/>
        <c:crosses val="autoZero"/>
        <c:crossBetween val="between"/>
      </c:valAx>
    </c:plotArea>
    <c:legend>
      <c:legendPos val="r"/>
      <c:layout>
        <c:manualLayout>
          <c:xMode val="edge"/>
          <c:yMode val="edge"/>
          <c:x val="0.10159785430378"/>
          <c:y val="0.75619744113182497"/>
          <c:w val="0.71077336263199697"/>
          <c:h val="0.13444541654515499"/>
        </c:manualLayout>
      </c:layout>
      <c:overlay val="0"/>
    </c:legend>
    <c:plotVisOnly val="1"/>
    <c:dispBlanksAs val="zero"/>
    <c:showDLblsOverMax val="0"/>
  </c:chart>
  <c:printSettings>
    <c:headerFooter/>
    <c:pageMargins b="0.750000000000002" l="0.70000000000000095" r="0.70000000000000095" t="0.750000000000002"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Net Income</a:t>
            </a:r>
            <a:r>
              <a:rPr lang="en-US" baseline="0"/>
              <a:t> vs EPS</a:t>
            </a:r>
          </a:p>
        </c:rich>
      </c:tx>
      <c:overlay val="0"/>
    </c:title>
    <c:autoTitleDeleted val="0"/>
    <c:plotArea>
      <c:layout/>
      <c:lineChart>
        <c:grouping val="standard"/>
        <c:varyColors val="0"/>
        <c:ser>
          <c:idx val="0"/>
          <c:order val="0"/>
          <c:tx>
            <c:strRef>
              <c:f>'NI vs EPS vs shares'!$A$6</c:f>
              <c:strCache>
                <c:ptCount val="1"/>
                <c:pt idx="0">
                  <c:v>Net Inc</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shares'!$B$6:$M$6</c:f>
              <c:numCache>
                <c:formatCode>_(* #,##0_);_(* \(#,##0\);_(* "-"_);_(@_)</c:formatCode>
                <c:ptCount val="12"/>
                <c:pt idx="0">
                  <c:v>111.50000000000061</c:v>
                </c:pt>
                <c:pt idx="1">
                  <c:v>222.89999999999981</c:v>
                </c:pt>
                <c:pt idx="2">
                  <c:v>808.79999999999916</c:v>
                </c:pt>
                <c:pt idx="3">
                  <c:v>1548.3999999999994</c:v>
                </c:pt>
                <c:pt idx="4">
                  <c:v>1825.9000000000015</c:v>
                </c:pt>
                <c:pt idx="5">
                  <c:v>2528</c:v>
                </c:pt>
                <c:pt idx="6">
                  <c:v>2807</c:v>
                </c:pt>
                <c:pt idx="7">
                  <c:v>1804</c:v>
                </c:pt>
                <c:pt idx="8">
                  <c:v>2183</c:v>
                </c:pt>
                <c:pt idx="9">
                  <c:v>2136</c:v>
                </c:pt>
                <c:pt idx="10">
                  <c:v>1793.52</c:v>
                </c:pt>
                <c:pt idx="11">
                  <c:v>2044.6574400000004</c:v>
                </c:pt>
              </c:numCache>
            </c:numRef>
          </c:val>
          <c:smooth val="0"/>
          <c:extLst>
            <c:ext xmlns:c16="http://schemas.microsoft.com/office/drawing/2014/chart" uri="{C3380CC4-5D6E-409C-BE32-E72D297353CC}">
              <c16:uniqueId val="{00000000-92EF-7F43-ACE7-94AE81581681}"/>
            </c:ext>
          </c:extLst>
        </c:ser>
        <c:dLbls>
          <c:showLegendKey val="0"/>
          <c:showVal val="0"/>
          <c:showCatName val="0"/>
          <c:showSerName val="0"/>
          <c:showPercent val="0"/>
          <c:showBubbleSize val="0"/>
        </c:dLbls>
        <c:marker val="1"/>
        <c:smooth val="0"/>
        <c:axId val="1797533216"/>
        <c:axId val="1797737936"/>
      </c:lineChart>
      <c:lineChart>
        <c:grouping val="standard"/>
        <c:varyColors val="0"/>
        <c:ser>
          <c:idx val="1"/>
          <c:order val="1"/>
          <c:tx>
            <c:strRef>
              <c:f>'NI vs EPS vs shares'!$A$7</c:f>
              <c:strCache>
                <c:ptCount val="1"/>
                <c:pt idx="0">
                  <c:v>Dil. EPS</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shares'!$B$7:$M$7</c:f>
              <c:numCache>
                <c:formatCode>"$"#,##0.00</c:formatCode>
                <c:ptCount val="12"/>
                <c:pt idx="0">
                  <c:v>0.63424345847554386</c:v>
                </c:pt>
                <c:pt idx="1">
                  <c:v>1.2891844997108144</c:v>
                </c:pt>
                <c:pt idx="2">
                  <c:v>4.4611141753998851</c:v>
                </c:pt>
                <c:pt idx="3">
                  <c:v>8.0144927536231858</c:v>
                </c:pt>
                <c:pt idx="4">
                  <c:v>8.9417238001958932</c:v>
                </c:pt>
                <c:pt idx="5">
                  <c:v>5.9848484848484853</c:v>
                </c:pt>
                <c:pt idx="6">
                  <c:v>7.0122408193854611</c:v>
                </c:pt>
                <c:pt idx="7">
                  <c:v>4.9182115594329332</c:v>
                </c:pt>
                <c:pt idx="8">
                  <c:v>6.1841359773371103</c:v>
                </c:pt>
                <c:pt idx="9">
                  <c:v>6.76</c:v>
                </c:pt>
                <c:pt idx="10">
                  <c:v>5.9783999999999997</c:v>
                </c:pt>
                <c:pt idx="11">
                  <c:v>6.8155248000000013</c:v>
                </c:pt>
              </c:numCache>
            </c:numRef>
          </c:val>
          <c:smooth val="0"/>
          <c:extLst>
            <c:ext xmlns:c16="http://schemas.microsoft.com/office/drawing/2014/chart" uri="{C3380CC4-5D6E-409C-BE32-E72D297353CC}">
              <c16:uniqueId val="{00000001-92EF-7F43-ACE7-94AE81581681}"/>
            </c:ext>
          </c:extLst>
        </c:ser>
        <c:dLbls>
          <c:showLegendKey val="0"/>
          <c:showVal val="0"/>
          <c:showCatName val="0"/>
          <c:showSerName val="0"/>
          <c:showPercent val="0"/>
          <c:showBubbleSize val="0"/>
        </c:dLbls>
        <c:marker val="1"/>
        <c:smooth val="0"/>
        <c:axId val="1797718544"/>
        <c:axId val="1797629280"/>
      </c:lineChart>
      <c:catAx>
        <c:axId val="1797533216"/>
        <c:scaling>
          <c:orientation val="minMax"/>
        </c:scaling>
        <c:delete val="0"/>
        <c:axPos val="b"/>
        <c:numFmt formatCode="General" sourceLinked="1"/>
        <c:majorTickMark val="out"/>
        <c:minorTickMark val="none"/>
        <c:tickLblPos val="nextTo"/>
        <c:crossAx val="1797737936"/>
        <c:crosses val="autoZero"/>
        <c:auto val="1"/>
        <c:lblAlgn val="ctr"/>
        <c:lblOffset val="100"/>
        <c:tickMarkSkip val="1"/>
        <c:noMultiLvlLbl val="0"/>
      </c:catAx>
      <c:valAx>
        <c:axId val="1797737936"/>
        <c:scaling>
          <c:orientation val="minMax"/>
        </c:scaling>
        <c:delete val="0"/>
        <c:axPos val="l"/>
        <c:majorGridlines/>
        <c:numFmt formatCode="_(* #,##0_);_(* \(#,##0\);_(* &quot;-&quot;_);_(@_)" sourceLinked="1"/>
        <c:majorTickMark val="out"/>
        <c:minorTickMark val="none"/>
        <c:tickLblPos val="nextTo"/>
        <c:crossAx val="1797533216"/>
        <c:crosses val="autoZero"/>
        <c:crossBetween val="between"/>
      </c:valAx>
      <c:catAx>
        <c:axId val="1797718544"/>
        <c:scaling>
          <c:orientation val="minMax"/>
        </c:scaling>
        <c:delete val="1"/>
        <c:axPos val="b"/>
        <c:numFmt formatCode="General" sourceLinked="1"/>
        <c:majorTickMark val="out"/>
        <c:minorTickMark val="none"/>
        <c:tickLblPos val="none"/>
        <c:crossAx val="1797629280"/>
        <c:crosses val="autoZero"/>
        <c:auto val="1"/>
        <c:lblAlgn val="ctr"/>
        <c:lblOffset val="100"/>
        <c:noMultiLvlLbl val="0"/>
      </c:catAx>
      <c:valAx>
        <c:axId val="1797629280"/>
        <c:scaling>
          <c:orientation val="minMax"/>
        </c:scaling>
        <c:delete val="0"/>
        <c:axPos val="r"/>
        <c:numFmt formatCode="&quot;$&quot;#,##0.00" sourceLinked="1"/>
        <c:majorTickMark val="out"/>
        <c:minorTickMark val="none"/>
        <c:tickLblPos val="nextTo"/>
        <c:crossAx val="1797718544"/>
        <c:crosses val="max"/>
        <c:crossBetween val="between"/>
      </c:valAx>
    </c:plotArea>
    <c:legend>
      <c:legendPos val="r"/>
      <c:layout>
        <c:manualLayout>
          <c:xMode val="edge"/>
          <c:yMode val="edge"/>
          <c:x val="0.30921259842519699"/>
          <c:y val="0.603130595162091"/>
          <c:w val="0.436208646996049"/>
          <c:h val="0.138566503511385"/>
        </c:manualLayout>
      </c:layout>
      <c:overlay val="0"/>
    </c:legend>
    <c:plotVisOnly val="1"/>
    <c:dispBlanksAs val="gap"/>
    <c:showDLblsOverMax val="0"/>
  </c:chart>
  <c:printSettings>
    <c:headerFooter/>
    <c:pageMargins b="0.750000000000002" l="0.70000000000000095" r="0.70000000000000095" t="0.750000000000002"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title>
    <c:autoTitleDeleted val="0"/>
    <c:plotArea>
      <c:layout>
        <c:manualLayout>
          <c:layoutTarget val="inner"/>
          <c:xMode val="edge"/>
          <c:yMode val="edge"/>
          <c:x val="0.14630796150481201"/>
          <c:y val="0.19480351414406499"/>
          <c:w val="0.81495581802274797"/>
          <c:h val="0.61743802857976104"/>
        </c:manualLayout>
      </c:layout>
      <c:lineChart>
        <c:grouping val="standard"/>
        <c:varyColors val="0"/>
        <c:ser>
          <c:idx val="0"/>
          <c:order val="0"/>
          <c:tx>
            <c:strRef>
              <c:f>'NI vs EPS vs shares'!$A$8</c:f>
              <c:strCache>
                <c:ptCount val="1"/>
                <c:pt idx="0">
                  <c:v>Wt Avg Shares (dil)</c:v>
                </c:pt>
              </c:strCache>
            </c:strRef>
          </c:tx>
          <c:cat>
            <c:numRef>
              <c:f>'NI vs EPS vs shares'!$B$5:$M$5</c:f>
              <c:numCache>
                <c:formatCode>General</c:formatCode>
                <c:ptCount val="12"/>
                <c:pt idx="0">
                  <c:v>2001</c:v>
                </c:pt>
                <c:pt idx="1">
                  <c:v>2002</c:v>
                </c:pt>
                <c:pt idx="2">
                  <c:v>2003</c:v>
                </c:pt>
                <c:pt idx="3">
                  <c:v>2004</c:v>
                </c:pt>
                <c:pt idx="4">
                  <c:v>2005</c:v>
                </c:pt>
                <c:pt idx="5">
                  <c:v>2006</c:v>
                </c:pt>
                <c:pt idx="6">
                  <c:v>2007</c:v>
                </c:pt>
                <c:pt idx="7">
                  <c:v>2008</c:v>
                </c:pt>
                <c:pt idx="8">
                  <c:v>2009</c:v>
                </c:pt>
                <c:pt idx="9">
                  <c:v>2010</c:v>
                </c:pt>
                <c:pt idx="10">
                  <c:v>2011</c:v>
                </c:pt>
                <c:pt idx="11">
                  <c:v>2012</c:v>
                </c:pt>
              </c:numCache>
            </c:numRef>
          </c:cat>
          <c:val>
            <c:numRef>
              <c:f>'NI vs EPS vs shares'!$B$8:$M$8</c:f>
              <c:numCache>
                <c:formatCode>_(* #,##0.00_);_(* \(#,##0.00\);_(* "-"_);_(@_)</c:formatCode>
                <c:ptCount val="12"/>
                <c:pt idx="0">
                  <c:v>175.8</c:v>
                </c:pt>
                <c:pt idx="1">
                  <c:v>172.9</c:v>
                </c:pt>
                <c:pt idx="2">
                  <c:v>181.3</c:v>
                </c:pt>
                <c:pt idx="3">
                  <c:v>193.2</c:v>
                </c:pt>
                <c:pt idx="4">
                  <c:v>204.2</c:v>
                </c:pt>
                <c:pt idx="5">
                  <c:v>422.4</c:v>
                </c:pt>
                <c:pt idx="6">
                  <c:v>400.3</c:v>
                </c:pt>
                <c:pt idx="7">
                  <c:v>366.8</c:v>
                </c:pt>
                <c:pt idx="8">
                  <c:v>353</c:v>
                </c:pt>
                <c:pt idx="9">
                  <c:v>305</c:v>
                </c:pt>
                <c:pt idx="10">
                  <c:v>280.5</c:v>
                </c:pt>
                <c:pt idx="11">
                  <c:v>255.5</c:v>
                </c:pt>
              </c:numCache>
            </c:numRef>
          </c:val>
          <c:smooth val="0"/>
          <c:extLst>
            <c:ext xmlns:c16="http://schemas.microsoft.com/office/drawing/2014/chart" uri="{C3380CC4-5D6E-409C-BE32-E72D297353CC}">
              <c16:uniqueId val="{00000000-08C4-E74F-B13D-96CDB0B74206}"/>
            </c:ext>
          </c:extLst>
        </c:ser>
        <c:dLbls>
          <c:showLegendKey val="0"/>
          <c:showVal val="0"/>
          <c:showCatName val="0"/>
          <c:showSerName val="0"/>
          <c:showPercent val="0"/>
          <c:showBubbleSize val="0"/>
        </c:dLbls>
        <c:marker val="1"/>
        <c:smooth val="0"/>
        <c:axId val="1797609040"/>
        <c:axId val="1822683392"/>
      </c:lineChart>
      <c:catAx>
        <c:axId val="1797609040"/>
        <c:scaling>
          <c:orientation val="minMax"/>
        </c:scaling>
        <c:delete val="0"/>
        <c:axPos val="b"/>
        <c:numFmt formatCode="General" sourceLinked="1"/>
        <c:majorTickMark val="out"/>
        <c:minorTickMark val="none"/>
        <c:tickLblPos val="nextTo"/>
        <c:crossAx val="1822683392"/>
        <c:crosses val="autoZero"/>
        <c:auto val="1"/>
        <c:lblAlgn val="ctr"/>
        <c:lblOffset val="100"/>
        <c:tickLblSkip val="2"/>
        <c:noMultiLvlLbl val="0"/>
      </c:catAx>
      <c:valAx>
        <c:axId val="1822683392"/>
        <c:scaling>
          <c:orientation val="minMax"/>
        </c:scaling>
        <c:delete val="0"/>
        <c:axPos val="l"/>
        <c:majorGridlines/>
        <c:numFmt formatCode="#,##0" sourceLinked="0"/>
        <c:majorTickMark val="out"/>
        <c:minorTickMark val="none"/>
        <c:tickLblPos val="nextTo"/>
        <c:crossAx val="1797609040"/>
        <c:crosses val="autoZero"/>
        <c:crossBetween val="between"/>
      </c:valAx>
    </c:plotArea>
    <c:plotVisOnly val="1"/>
    <c:dispBlanksAs val="gap"/>
    <c:showDLblsOverMax val="0"/>
  </c:chart>
  <c:printSettings>
    <c:headerFooter/>
    <c:pageMargins b="0.750000000000002" l="0.70000000000000095" r="0.70000000000000095" t="0.750000000000002"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drawing3.xml.rels><?xml version="1.0" encoding="UTF-8" standalone="yes"?>
<Relationships xmlns="http://schemas.openxmlformats.org/package/2006/relationships"><Relationship Id="rId1" Type="http://schemas.openxmlformats.org/officeDocument/2006/relationships/image" Target="../media/image3.gif"/></Relationships>
</file>

<file path=xl/drawings/_rels/drawing5.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19.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1.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2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2.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3</xdr:col>
      <xdr:colOff>3492500</xdr:colOff>
      <xdr:row>1</xdr:row>
      <xdr:rowOff>57150</xdr:rowOff>
    </xdr:from>
    <xdr:to>
      <xdr:col>5</xdr:col>
      <xdr:colOff>1471690</xdr:colOff>
      <xdr:row>11</xdr:row>
      <xdr:rowOff>152838</xdr:rowOff>
    </xdr:to>
    <xdr:pic>
      <xdr:nvPicPr>
        <xdr:cNvPr id="3" name="Picture 2">
          <a:extLst>
            <a:ext uri="{FF2B5EF4-FFF2-40B4-BE49-F238E27FC236}">
              <a16:creationId xmlns:a16="http://schemas.microsoft.com/office/drawing/2014/main" id="{ABEFC889-0679-44A5-9A3E-0AF06BAEC17C}"/>
            </a:ext>
          </a:extLst>
        </xdr:cNvPr>
        <xdr:cNvPicPr>
          <a:picLocks noChangeAspect="1"/>
        </xdr:cNvPicPr>
      </xdr:nvPicPr>
      <xdr:blipFill>
        <a:blip xmlns:r="http://schemas.openxmlformats.org/officeDocument/2006/relationships" r:embed="rId1"/>
        <a:stretch>
          <a:fillRect/>
        </a:stretch>
      </xdr:blipFill>
      <xdr:spPr>
        <a:xfrm>
          <a:off x="4257675" y="269875"/>
          <a:ext cx="3090940" cy="21276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18</xdr:col>
      <xdr:colOff>0</xdr:colOff>
      <xdr:row>0</xdr:row>
      <xdr:rowOff>0</xdr:rowOff>
    </xdr:from>
    <xdr:to>
      <xdr:col>18</xdr:col>
      <xdr:colOff>114300</xdr:colOff>
      <xdr:row>0</xdr:row>
      <xdr:rowOff>114300</xdr:rowOff>
    </xdr:to>
    <xdr:pic>
      <xdr:nvPicPr>
        <xdr:cNvPr id="2" name="Picture 1" descr="http://www.mergenthorizon.com.proxy.library.nd.edu/rp/images/12px-box.gif">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5544800" y="3886200"/>
          <a:ext cx="114300" cy="114300"/>
        </a:xfrm>
        <a:prstGeom prst="rect">
          <a:avLst/>
        </a:prstGeom>
        <a:noFill/>
      </xdr:spPr>
    </xdr:pic>
    <xdr:clientData/>
  </xdr:twoCellAnchor>
  <xdr:twoCellAnchor editAs="oneCell">
    <xdr:from>
      <xdr:col>19</xdr:col>
      <xdr:colOff>0</xdr:colOff>
      <xdr:row>0</xdr:row>
      <xdr:rowOff>0</xdr:rowOff>
    </xdr:from>
    <xdr:to>
      <xdr:col>19</xdr:col>
      <xdr:colOff>114300</xdr:colOff>
      <xdr:row>0</xdr:row>
      <xdr:rowOff>114300</xdr:rowOff>
    </xdr:to>
    <xdr:pic>
      <xdr:nvPicPr>
        <xdr:cNvPr id="3" name="Picture 2" descr="CB chart color">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54400" y="3886200"/>
          <a:ext cx="114300" cy="114300"/>
        </a:xfrm>
        <a:prstGeom prst="rect">
          <a:avLst/>
        </a:prstGeom>
        <a:noFill/>
      </xdr:spPr>
    </xdr:pic>
    <xdr:clientData/>
  </xdr:twoCellAnchor>
  <xdr:twoCellAnchor editAs="oneCell">
    <xdr:from>
      <xdr:col>20</xdr:col>
      <xdr:colOff>0</xdr:colOff>
      <xdr:row>0</xdr:row>
      <xdr:rowOff>0</xdr:rowOff>
    </xdr:from>
    <xdr:to>
      <xdr:col>20</xdr:col>
      <xdr:colOff>114300</xdr:colOff>
      <xdr:row>0</xdr:row>
      <xdr:rowOff>114300</xdr:rowOff>
    </xdr:to>
    <xdr:pic>
      <xdr:nvPicPr>
        <xdr:cNvPr id="4" name="Picture 3" descr="TRV chart color">
          <a:extLst>
            <a:ext uri="{FF2B5EF4-FFF2-40B4-BE49-F238E27FC236}">
              <a16:creationId xmlns:a16="http://schemas.microsoft.com/office/drawing/2014/main" id="{00000000-0008-0000-0100-000004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764000" y="3886200"/>
          <a:ext cx="114300" cy="114300"/>
        </a:xfrm>
        <a:prstGeom prst="rect">
          <a:avLst/>
        </a:prstGeom>
        <a:noFill/>
      </xdr:spPr>
    </xdr:pic>
    <xdr:clientData/>
  </xdr:twoCellAnchor>
  <xdr:twoCellAnchor editAs="oneCell">
    <xdr:from>
      <xdr:col>21</xdr:col>
      <xdr:colOff>0</xdr:colOff>
      <xdr:row>0</xdr:row>
      <xdr:rowOff>0</xdr:rowOff>
    </xdr:from>
    <xdr:to>
      <xdr:col>21</xdr:col>
      <xdr:colOff>114300</xdr:colOff>
      <xdr:row>0</xdr:row>
      <xdr:rowOff>114300</xdr:rowOff>
    </xdr:to>
    <xdr:pic>
      <xdr:nvPicPr>
        <xdr:cNvPr id="5" name="Picture 4" descr="ALL chart color">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373600" y="3886200"/>
          <a:ext cx="114300" cy="114300"/>
        </a:xfrm>
        <a:prstGeom prst="rect">
          <a:avLst/>
        </a:prstGeom>
        <a:noFill/>
      </xdr:spPr>
    </xdr:pic>
    <xdr:clientData/>
  </xdr:twoCellAnchor>
  <xdr:twoCellAnchor editAs="oneCell">
    <xdr:from>
      <xdr:col>22</xdr:col>
      <xdr:colOff>0</xdr:colOff>
      <xdr:row>0</xdr:row>
      <xdr:rowOff>0</xdr:rowOff>
    </xdr:from>
    <xdr:to>
      <xdr:col>22</xdr:col>
      <xdr:colOff>114300</xdr:colOff>
      <xdr:row>0</xdr:row>
      <xdr:rowOff>114300</xdr:rowOff>
    </xdr:to>
    <xdr:pic>
      <xdr:nvPicPr>
        <xdr:cNvPr id="6" name="Picture 5" descr="PGR chart color">
          <a:extLst>
            <a:ext uri="{FF2B5EF4-FFF2-40B4-BE49-F238E27FC236}">
              <a16:creationId xmlns:a16="http://schemas.microsoft.com/office/drawing/2014/main" id="{00000000-0008-0000-0100-000006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7983200" y="3886200"/>
          <a:ext cx="114300" cy="114300"/>
        </a:xfrm>
        <a:prstGeom prst="rect">
          <a:avLst/>
        </a:prstGeom>
        <a:noFill/>
      </xdr:spPr>
    </xdr:pic>
    <xdr:clientData/>
  </xdr:twoCellAnchor>
  <xdr:twoCellAnchor editAs="oneCell">
    <xdr:from>
      <xdr:col>23</xdr:col>
      <xdr:colOff>0</xdr:colOff>
      <xdr:row>0</xdr:row>
      <xdr:rowOff>0</xdr:rowOff>
    </xdr:from>
    <xdr:to>
      <xdr:col>23</xdr:col>
      <xdr:colOff>114300</xdr:colOff>
      <xdr:row>0</xdr:row>
      <xdr:rowOff>114300</xdr:rowOff>
    </xdr:to>
    <xdr:pic>
      <xdr:nvPicPr>
        <xdr:cNvPr id="7" name="Picture 6" descr="CNA chart color">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8592800" y="3886200"/>
          <a:ext cx="114300" cy="114300"/>
        </a:xfrm>
        <a:prstGeom prst="rect">
          <a:avLst/>
        </a:prstGeom>
        <a:noFill/>
      </xdr:spPr>
    </xdr:pic>
    <xdr:clientData/>
  </xdr:twoCellAnchor>
  <xdr:twoCellAnchor editAs="oneCell">
    <xdr:from>
      <xdr:col>24</xdr:col>
      <xdr:colOff>0</xdr:colOff>
      <xdr:row>0</xdr:row>
      <xdr:rowOff>0</xdr:rowOff>
    </xdr:from>
    <xdr:to>
      <xdr:col>24</xdr:col>
      <xdr:colOff>114300</xdr:colOff>
      <xdr:row>0</xdr:row>
      <xdr:rowOff>114300</xdr:rowOff>
    </xdr:to>
    <xdr:pic>
      <xdr:nvPicPr>
        <xdr:cNvPr id="8" name="Picture 7" descr="CINF chart color">
          <a:extLst>
            <a:ext uri="{FF2B5EF4-FFF2-40B4-BE49-F238E27FC236}">
              <a16:creationId xmlns:a16="http://schemas.microsoft.com/office/drawing/2014/main" id="{00000000-0008-0000-0100-000008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9202400" y="3886200"/>
          <a:ext cx="114300" cy="114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0</xdr:colOff>
      <xdr:row>23</xdr:row>
      <xdr:rowOff>0</xdr:rowOff>
    </xdr:from>
    <xdr:to>
      <xdr:col>13</xdr:col>
      <xdr:colOff>114300</xdr:colOff>
      <xdr:row>23</xdr:row>
      <xdr:rowOff>114300</xdr:rowOff>
    </xdr:to>
    <xdr:pic>
      <xdr:nvPicPr>
        <xdr:cNvPr id="92161" name="Picture 1" descr="http://www.mergenthorizon.com.proxy.library.nd.edu/rp/images/12px-box.gif">
          <a:extLst>
            <a:ext uri="{FF2B5EF4-FFF2-40B4-BE49-F238E27FC236}">
              <a16:creationId xmlns:a16="http://schemas.microsoft.com/office/drawing/2014/main" id="{00000000-0008-0000-0200-000001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7924800" y="3724275"/>
          <a:ext cx="114300" cy="114300"/>
        </a:xfrm>
        <a:prstGeom prst="rect">
          <a:avLst/>
        </a:prstGeom>
        <a:noFill/>
      </xdr:spPr>
    </xdr:pic>
    <xdr:clientData/>
  </xdr:twoCellAnchor>
  <xdr:twoCellAnchor editAs="oneCell">
    <xdr:from>
      <xdr:col>14</xdr:col>
      <xdr:colOff>0</xdr:colOff>
      <xdr:row>23</xdr:row>
      <xdr:rowOff>0</xdr:rowOff>
    </xdr:from>
    <xdr:to>
      <xdr:col>14</xdr:col>
      <xdr:colOff>114300</xdr:colOff>
      <xdr:row>23</xdr:row>
      <xdr:rowOff>114300</xdr:rowOff>
    </xdr:to>
    <xdr:pic>
      <xdr:nvPicPr>
        <xdr:cNvPr id="92162" name="Picture 2" descr="CB chart color">
          <a:extLst>
            <a:ext uri="{FF2B5EF4-FFF2-40B4-BE49-F238E27FC236}">
              <a16:creationId xmlns:a16="http://schemas.microsoft.com/office/drawing/2014/main" id="{00000000-0008-0000-0200-000002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8534400" y="3724275"/>
          <a:ext cx="114300" cy="114300"/>
        </a:xfrm>
        <a:prstGeom prst="rect">
          <a:avLst/>
        </a:prstGeom>
        <a:noFill/>
      </xdr:spPr>
    </xdr:pic>
    <xdr:clientData/>
  </xdr:twoCellAnchor>
  <xdr:twoCellAnchor editAs="oneCell">
    <xdr:from>
      <xdr:col>15</xdr:col>
      <xdr:colOff>0</xdr:colOff>
      <xdr:row>23</xdr:row>
      <xdr:rowOff>0</xdr:rowOff>
    </xdr:from>
    <xdr:to>
      <xdr:col>15</xdr:col>
      <xdr:colOff>114300</xdr:colOff>
      <xdr:row>23</xdr:row>
      <xdr:rowOff>114300</xdr:rowOff>
    </xdr:to>
    <xdr:pic>
      <xdr:nvPicPr>
        <xdr:cNvPr id="92163" name="Picture 3" descr="TRV chart color">
          <a:extLst>
            <a:ext uri="{FF2B5EF4-FFF2-40B4-BE49-F238E27FC236}">
              <a16:creationId xmlns:a16="http://schemas.microsoft.com/office/drawing/2014/main" id="{00000000-0008-0000-0200-000003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144000" y="3724275"/>
          <a:ext cx="114300" cy="114300"/>
        </a:xfrm>
        <a:prstGeom prst="rect">
          <a:avLst/>
        </a:prstGeom>
        <a:noFill/>
      </xdr:spPr>
    </xdr:pic>
    <xdr:clientData/>
  </xdr:twoCellAnchor>
  <xdr:twoCellAnchor editAs="oneCell">
    <xdr:from>
      <xdr:col>16</xdr:col>
      <xdr:colOff>0</xdr:colOff>
      <xdr:row>23</xdr:row>
      <xdr:rowOff>0</xdr:rowOff>
    </xdr:from>
    <xdr:to>
      <xdr:col>16</xdr:col>
      <xdr:colOff>114300</xdr:colOff>
      <xdr:row>23</xdr:row>
      <xdr:rowOff>114300</xdr:rowOff>
    </xdr:to>
    <xdr:pic>
      <xdr:nvPicPr>
        <xdr:cNvPr id="92164" name="Picture 4" descr="ALL chart color">
          <a:extLst>
            <a:ext uri="{FF2B5EF4-FFF2-40B4-BE49-F238E27FC236}">
              <a16:creationId xmlns:a16="http://schemas.microsoft.com/office/drawing/2014/main" id="{00000000-0008-0000-0200-000004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9753600" y="3724275"/>
          <a:ext cx="114300" cy="114300"/>
        </a:xfrm>
        <a:prstGeom prst="rect">
          <a:avLst/>
        </a:prstGeom>
        <a:noFill/>
      </xdr:spPr>
    </xdr:pic>
    <xdr:clientData/>
  </xdr:twoCellAnchor>
  <xdr:twoCellAnchor editAs="oneCell">
    <xdr:from>
      <xdr:col>17</xdr:col>
      <xdr:colOff>0</xdr:colOff>
      <xdr:row>23</xdr:row>
      <xdr:rowOff>0</xdr:rowOff>
    </xdr:from>
    <xdr:to>
      <xdr:col>17</xdr:col>
      <xdr:colOff>114300</xdr:colOff>
      <xdr:row>23</xdr:row>
      <xdr:rowOff>114300</xdr:rowOff>
    </xdr:to>
    <xdr:pic>
      <xdr:nvPicPr>
        <xdr:cNvPr id="92165" name="Picture 5" descr="PGR chart color">
          <a:extLst>
            <a:ext uri="{FF2B5EF4-FFF2-40B4-BE49-F238E27FC236}">
              <a16:creationId xmlns:a16="http://schemas.microsoft.com/office/drawing/2014/main" id="{00000000-0008-0000-0200-000005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363200" y="3724275"/>
          <a:ext cx="114300" cy="114300"/>
        </a:xfrm>
        <a:prstGeom prst="rect">
          <a:avLst/>
        </a:prstGeom>
        <a:noFill/>
      </xdr:spPr>
    </xdr:pic>
    <xdr:clientData/>
  </xdr:twoCellAnchor>
  <xdr:twoCellAnchor editAs="oneCell">
    <xdr:from>
      <xdr:col>18</xdr:col>
      <xdr:colOff>0</xdr:colOff>
      <xdr:row>23</xdr:row>
      <xdr:rowOff>0</xdr:rowOff>
    </xdr:from>
    <xdr:to>
      <xdr:col>18</xdr:col>
      <xdr:colOff>114300</xdr:colOff>
      <xdr:row>23</xdr:row>
      <xdr:rowOff>114300</xdr:rowOff>
    </xdr:to>
    <xdr:pic>
      <xdr:nvPicPr>
        <xdr:cNvPr id="92166" name="Picture 6" descr="CNA chart color">
          <a:extLst>
            <a:ext uri="{FF2B5EF4-FFF2-40B4-BE49-F238E27FC236}">
              <a16:creationId xmlns:a16="http://schemas.microsoft.com/office/drawing/2014/main" id="{00000000-0008-0000-0200-000006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972800" y="3724275"/>
          <a:ext cx="114300" cy="114300"/>
        </a:xfrm>
        <a:prstGeom prst="rect">
          <a:avLst/>
        </a:prstGeom>
        <a:noFill/>
      </xdr:spPr>
    </xdr:pic>
    <xdr:clientData/>
  </xdr:twoCellAnchor>
  <xdr:twoCellAnchor editAs="oneCell">
    <xdr:from>
      <xdr:col>19</xdr:col>
      <xdr:colOff>0</xdr:colOff>
      <xdr:row>23</xdr:row>
      <xdr:rowOff>0</xdr:rowOff>
    </xdr:from>
    <xdr:to>
      <xdr:col>19</xdr:col>
      <xdr:colOff>114300</xdr:colOff>
      <xdr:row>23</xdr:row>
      <xdr:rowOff>114300</xdr:rowOff>
    </xdr:to>
    <xdr:pic>
      <xdr:nvPicPr>
        <xdr:cNvPr id="92167" name="Picture 7" descr="CINF chart color">
          <a:extLst>
            <a:ext uri="{FF2B5EF4-FFF2-40B4-BE49-F238E27FC236}">
              <a16:creationId xmlns:a16="http://schemas.microsoft.com/office/drawing/2014/main" id="{00000000-0008-0000-0200-0000076801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1582400" y="3724275"/>
          <a:ext cx="114300" cy="114300"/>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xdr:from>
      <xdr:col>8</xdr:col>
      <xdr:colOff>114300</xdr:colOff>
      <xdr:row>33</xdr:row>
      <xdr:rowOff>0</xdr:rowOff>
    </xdr:from>
    <xdr:to>
      <xdr:col>10</xdr:col>
      <xdr:colOff>590550</xdr:colOff>
      <xdr:row>33</xdr:row>
      <xdr:rowOff>0</xdr:rowOff>
    </xdr:to>
    <xdr:sp macro="" textlink="">
      <xdr:nvSpPr>
        <xdr:cNvPr id="1829" name="Rectangle 99">
          <a:extLst>
            <a:ext uri="{FF2B5EF4-FFF2-40B4-BE49-F238E27FC236}">
              <a16:creationId xmlns:a16="http://schemas.microsoft.com/office/drawing/2014/main" id="{00000000-0008-0000-0800-000025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0" name="Rectangle 100">
          <a:extLst>
            <a:ext uri="{FF2B5EF4-FFF2-40B4-BE49-F238E27FC236}">
              <a16:creationId xmlns:a16="http://schemas.microsoft.com/office/drawing/2014/main" id="{00000000-0008-0000-0800-000026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twoCellAnchor>
    <xdr:from>
      <xdr:col>8</xdr:col>
      <xdr:colOff>114300</xdr:colOff>
      <xdr:row>33</xdr:row>
      <xdr:rowOff>0</xdr:rowOff>
    </xdr:from>
    <xdr:to>
      <xdr:col>10</xdr:col>
      <xdr:colOff>590550</xdr:colOff>
      <xdr:row>33</xdr:row>
      <xdr:rowOff>0</xdr:rowOff>
    </xdr:to>
    <xdr:sp macro="" textlink="">
      <xdr:nvSpPr>
        <xdr:cNvPr id="1831" name="Rectangle 101">
          <a:extLst>
            <a:ext uri="{FF2B5EF4-FFF2-40B4-BE49-F238E27FC236}">
              <a16:creationId xmlns:a16="http://schemas.microsoft.com/office/drawing/2014/main" id="{00000000-0008-0000-0800-000027070000}"/>
            </a:ext>
          </a:extLst>
        </xdr:cNvPr>
        <xdr:cNvSpPr>
          <a:spLocks noChangeArrowheads="1"/>
        </xdr:cNvSpPr>
      </xdr:nvSpPr>
      <xdr:spPr bwMode="auto">
        <a:xfrm>
          <a:off x="3429000" y="5581650"/>
          <a:ext cx="1905000" cy="0"/>
        </a:xfrm>
        <a:prstGeom prst="rect">
          <a:avLst/>
        </a:prstGeom>
        <a:noFill/>
        <a:ln w="9525">
          <a:noFill/>
          <a:miter lim="800000"/>
          <a:headEnd/>
          <a:tailEnd/>
        </a:ln>
      </xdr:spPr>
    </xdr:sp>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190500</xdr:colOff>
      <xdr:row>22</xdr:row>
      <xdr:rowOff>95250</xdr:rowOff>
    </xdr:from>
    <xdr:to>
      <xdr:col>31</xdr:col>
      <xdr:colOff>219075</xdr:colOff>
      <xdr:row>39</xdr:row>
      <xdr:rowOff>9525</xdr:rowOff>
    </xdr:to>
    <xdr:graphicFrame macro="">
      <xdr:nvGraphicFramePr>
        <xdr:cNvPr id="2" name="Chart 2">
          <a:extLst>
            <a:ext uri="{FF2B5EF4-FFF2-40B4-BE49-F238E27FC236}">
              <a16:creationId xmlns:a16="http://schemas.microsoft.com/office/drawing/2014/main" id="{00000000-0008-0000-1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21</xdr:col>
      <xdr:colOff>428625</xdr:colOff>
      <xdr:row>38</xdr:row>
      <xdr:rowOff>47625</xdr:rowOff>
    </xdr:from>
    <xdr:to>
      <xdr:col>29</xdr:col>
      <xdr:colOff>504825</xdr:colOff>
      <xdr:row>58</xdr:row>
      <xdr:rowOff>76200</xdr:rowOff>
    </xdr:to>
    <xdr:graphicFrame macro="">
      <xdr:nvGraphicFramePr>
        <xdr:cNvPr id="3" name="Chart 4">
          <a:extLst>
            <a:ext uri="{FF2B5EF4-FFF2-40B4-BE49-F238E27FC236}">
              <a16:creationId xmlns:a16="http://schemas.microsoft.com/office/drawing/2014/main" id="{00000000-0008-0000-1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561975</xdr:colOff>
      <xdr:row>8</xdr:row>
      <xdr:rowOff>123825</xdr:rowOff>
    </xdr:from>
    <xdr:to>
      <xdr:col>13</xdr:col>
      <xdr:colOff>180975</xdr:colOff>
      <xdr:row>30</xdr:row>
      <xdr:rowOff>85725</xdr:rowOff>
    </xdr:to>
    <xdr:graphicFrame macro="">
      <xdr:nvGraphicFramePr>
        <xdr:cNvPr id="2" name="Chart 2">
          <a:extLst>
            <a:ext uri="{FF2B5EF4-FFF2-40B4-BE49-F238E27FC236}">
              <a16:creationId xmlns:a16="http://schemas.microsoft.com/office/drawing/2014/main" id="{00000000-0008-0000-1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276225</xdr:colOff>
      <xdr:row>30</xdr:row>
      <xdr:rowOff>104775</xdr:rowOff>
    </xdr:from>
    <xdr:to>
      <xdr:col>10</xdr:col>
      <xdr:colOff>581025</xdr:colOff>
      <xdr:row>47</xdr:row>
      <xdr:rowOff>95250</xdr:rowOff>
    </xdr:to>
    <xdr:graphicFrame macro="">
      <xdr:nvGraphicFramePr>
        <xdr:cNvPr id="3" name="Chart 3">
          <a:extLst>
            <a:ext uri="{FF2B5EF4-FFF2-40B4-BE49-F238E27FC236}">
              <a16:creationId xmlns:a16="http://schemas.microsoft.com/office/drawing/2014/main" id="{00000000-0008-0000-15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11</xdr:col>
      <xdr:colOff>0</xdr:colOff>
      <xdr:row>3</xdr:row>
      <xdr:rowOff>0</xdr:rowOff>
    </xdr:from>
    <xdr:to>
      <xdr:col>16</xdr:col>
      <xdr:colOff>0</xdr:colOff>
      <xdr:row>24</xdr:row>
      <xdr:rowOff>0</xdr:rowOff>
    </xdr:to>
    <xdr:sp macro="" textlink="">
      <xdr:nvSpPr>
        <xdr:cNvPr id="68914" name="Rectangle 1">
          <a:extLst>
            <a:ext uri="{FF2B5EF4-FFF2-40B4-BE49-F238E27FC236}">
              <a16:creationId xmlns:a16="http://schemas.microsoft.com/office/drawing/2014/main" id="{00000000-0008-0000-2200-0000320D0100}"/>
            </a:ext>
          </a:extLst>
        </xdr:cNvPr>
        <xdr:cNvSpPr>
          <a:spLocks noChangeArrowheads="1"/>
        </xdr:cNvSpPr>
      </xdr:nvSpPr>
      <xdr:spPr bwMode="auto">
        <a:xfrm>
          <a:off x="6324600" y="561975"/>
          <a:ext cx="3886200" cy="3095625"/>
        </a:xfrm>
        <a:prstGeom prst="rect">
          <a:avLst/>
        </a:prstGeom>
        <a:noFill/>
        <a:ln w="9525">
          <a:solidFill>
            <a:srgbClr val="000000"/>
          </a:solidFill>
          <a:miter lim="800000"/>
          <a:headEnd/>
          <a:tailEnd/>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vkothari\AIM\BB%20Financial%20as%20r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A_CB_US_ARD_Items_Income__m"/>
      <sheetName val="BDA_CB_US_ARD_Items_Balance_m"/>
      <sheetName val="IS"/>
      <sheetName val="BS"/>
      <sheetName val="BDA_CB_US_ARD_Items_Cash_Fl_m"/>
      <sheetName val="BDA_CB_US_ARD_Items_Referen_m"/>
      <sheetName val="ARD_Items_Referen"/>
    </sheetNames>
    <sheetDataSet>
      <sheetData sheetId="0"/>
      <sheetData sheetId="1"/>
      <sheetData sheetId="2">
        <row r="1">
          <cell r="A1" t="str">
            <v>Ticker</v>
          </cell>
          <cell r="B1" t="str">
            <v>CB US Equity</v>
          </cell>
          <cell r="C1" t="str">
            <v xml:space="preserve"> </v>
          </cell>
        </row>
        <row r="2">
          <cell r="A2" t="str">
            <v>Currency</v>
          </cell>
          <cell r="B2" t="str">
            <v>USD</v>
          </cell>
        </row>
        <row r="3">
          <cell r="A3" t="str">
            <v>Name</v>
          </cell>
          <cell r="B3" t="str">
            <v>CHUBB CORP</v>
          </cell>
        </row>
        <row r="4">
          <cell r="A4" t="str">
            <v>Start Date</v>
          </cell>
          <cell r="B4">
            <v>36526</v>
          </cell>
        </row>
        <row r="5">
          <cell r="A5" t="str">
            <v>End Date</v>
          </cell>
          <cell r="B5">
            <v>40568</v>
          </cell>
        </row>
        <row r="6">
          <cell r="A6" t="str">
            <v>Periodicity</v>
          </cell>
          <cell r="B6" t="str">
            <v>Calendar Annually</v>
          </cell>
        </row>
        <row r="7">
          <cell r="A7" t="str">
            <v>Display Order</v>
          </cell>
          <cell r="B7" t="str">
            <v>Chronological</v>
          </cell>
        </row>
        <row r="8">
          <cell r="A8" t="str">
            <v>Data Type</v>
          </cell>
          <cell r="B8" t="str">
            <v>As Reported Data</v>
          </cell>
        </row>
        <row r="9">
          <cell r="A9" t="str">
            <v>Reported Status</v>
          </cell>
          <cell r="B9" t="str">
            <v>Most Recent</v>
          </cell>
        </row>
        <row r="10">
          <cell r="A10" t="str">
            <v>Consolidation Level</v>
          </cell>
          <cell r="B10" t="str">
            <v>Default</v>
          </cell>
        </row>
        <row r="12">
          <cell r="A12" t="str">
            <v>Date:</v>
          </cell>
          <cell r="B12" t="str">
            <v>CY1 2000</v>
          </cell>
          <cell r="C12" t="str">
            <v>CY1 2001</v>
          </cell>
          <cell r="D12" t="str">
            <v>CY1 2002</v>
          </cell>
          <cell r="E12" t="str">
            <v>CY1 2003</v>
          </cell>
          <cell r="F12" t="str">
            <v>CY1 2004</v>
          </cell>
          <cell r="G12" t="str">
            <v>CY1 2005</v>
          </cell>
          <cell r="H12" t="str">
            <v>CY1 2006</v>
          </cell>
          <cell r="I12" t="str">
            <v>CY1 2007</v>
          </cell>
          <cell r="J12" t="str">
            <v>CY1 2008</v>
          </cell>
          <cell r="K12" t="str">
            <v>CY1 2009</v>
          </cell>
        </row>
        <row r="13">
          <cell r="A13" t="str">
            <v>Status:</v>
          </cell>
          <cell r="B13" t="str">
            <v>Original</v>
          </cell>
          <cell r="C13" t="str">
            <v>Restated</v>
          </cell>
          <cell r="D13" t="str">
            <v>Restated</v>
          </cell>
          <cell r="E13" t="str">
            <v>Original</v>
          </cell>
          <cell r="F13" t="str">
            <v>Original</v>
          </cell>
          <cell r="G13" t="str">
            <v>Original</v>
          </cell>
          <cell r="H13" t="str">
            <v>Original</v>
          </cell>
          <cell r="I13" t="str">
            <v>Original</v>
          </cell>
          <cell r="J13" t="str">
            <v>Original</v>
          </cell>
          <cell r="K13" t="str">
            <v>Original</v>
          </cell>
        </row>
        <row r="14">
          <cell r="A14" t="str">
            <v>Income Statement</v>
          </cell>
        </row>
        <row r="15">
          <cell r="A15" t="str">
            <v>Revenues</v>
          </cell>
        </row>
        <row r="16">
          <cell r="A16" t="str">
            <v>Real Estate and Other Revenues</v>
          </cell>
          <cell r="B16">
            <v>96.9</v>
          </cell>
          <cell r="C16">
            <v>114</v>
          </cell>
          <cell r="D16">
            <v>23.8</v>
          </cell>
        </row>
        <row r="17">
          <cell r="A17" t="str">
            <v>Premiums Earned</v>
          </cell>
          <cell r="B17">
            <v>6145.9</v>
          </cell>
          <cell r="C17">
            <v>6656.4</v>
          </cell>
          <cell r="D17">
            <v>8085.3</v>
          </cell>
          <cell r="E17">
            <v>10182.5</v>
          </cell>
          <cell r="F17">
            <v>11635.7</v>
          </cell>
          <cell r="G17">
            <v>12176</v>
          </cell>
          <cell r="H17">
            <v>11958</v>
          </cell>
          <cell r="I17">
            <v>11946</v>
          </cell>
          <cell r="J17">
            <v>11828</v>
          </cell>
          <cell r="K17">
            <v>11331000000</v>
          </cell>
        </row>
        <row r="18">
          <cell r="A18" t="str">
            <v>Investment Income</v>
          </cell>
          <cell r="B18">
            <v>957.2</v>
          </cell>
          <cell r="C18">
            <v>982.8</v>
          </cell>
          <cell r="D18">
            <v>997.3</v>
          </cell>
          <cell r="E18">
            <v>1118.3</v>
          </cell>
          <cell r="F18">
            <v>1256</v>
          </cell>
          <cell r="G18">
            <v>1407.7</v>
          </cell>
          <cell r="H18">
            <v>1580</v>
          </cell>
          <cell r="I18">
            <v>1738</v>
          </cell>
          <cell r="J18">
            <v>1732</v>
          </cell>
          <cell r="K18">
            <v>1649000000</v>
          </cell>
        </row>
        <row r="19">
          <cell r="A19" t="str">
            <v>Other Revenues</v>
          </cell>
          <cell r="E19">
            <v>8.8000000000000007</v>
          </cell>
          <cell r="F19">
            <v>67.3</v>
          </cell>
          <cell r="G19">
            <v>115.1</v>
          </cell>
          <cell r="H19">
            <v>220</v>
          </cell>
          <cell r="I19">
            <v>49</v>
          </cell>
          <cell r="J19">
            <v>32</v>
          </cell>
          <cell r="K19">
            <v>13000000</v>
          </cell>
        </row>
        <row r="20">
          <cell r="A20" t="str">
            <v>Realized Investment Gains (Note 4)</v>
          </cell>
          <cell r="B20">
            <v>51.5</v>
          </cell>
        </row>
        <row r="21">
          <cell r="A21" t="str">
            <v>Realized Investment Gains</v>
          </cell>
          <cell r="C21">
            <v>0.8</v>
          </cell>
          <cell r="D21">
            <v>33.9</v>
          </cell>
          <cell r="E21">
            <v>84.4</v>
          </cell>
          <cell r="G21">
            <v>383.5</v>
          </cell>
          <cell r="H21">
            <v>245</v>
          </cell>
          <cell r="I21">
            <v>374</v>
          </cell>
        </row>
        <row r="22">
          <cell r="A22" t="str">
            <v>Realized Capital Gains/ Losses</v>
          </cell>
          <cell r="F22">
            <v>218.2</v>
          </cell>
        </row>
        <row r="23">
          <cell r="A23" t="str">
            <v>Realized Investment Gains (Losses), Net</v>
          </cell>
          <cell r="J23">
            <v>-371</v>
          </cell>
        </row>
        <row r="24">
          <cell r="A24" t="str">
            <v>Total Other-Than-Temporary Impairment Losses on Investments</v>
          </cell>
          <cell r="K24">
            <v>-132000000</v>
          </cell>
        </row>
        <row r="25">
          <cell r="A25" t="str">
            <v>Other Realized Investment Gains, Net</v>
          </cell>
          <cell r="C25" t="str">
            <v>#N/A Invalid Field</v>
          </cell>
          <cell r="K25">
            <v>135000000</v>
          </cell>
        </row>
        <row r="26">
          <cell r="A26" t="str">
            <v>Other-Than-Temporary Impairment Losses on Investments Recognized in O</v>
          </cell>
          <cell r="K26">
            <v>20000000</v>
          </cell>
        </row>
        <row r="27">
          <cell r="A27" t="str">
            <v>TOTAL REVENUES</v>
          </cell>
          <cell r="B27">
            <v>7251.5</v>
          </cell>
          <cell r="C27">
            <v>7754</v>
          </cell>
          <cell r="D27">
            <v>9140.2999999999993</v>
          </cell>
          <cell r="E27">
            <v>11394</v>
          </cell>
          <cell r="F27">
            <v>13177.2</v>
          </cell>
          <cell r="G27">
            <v>14082.3</v>
          </cell>
          <cell r="H27">
            <v>14003</v>
          </cell>
          <cell r="I27">
            <v>14107</v>
          </cell>
          <cell r="J27">
            <v>13221</v>
          </cell>
          <cell r="K27">
            <v>13016000000</v>
          </cell>
        </row>
        <row r="28">
          <cell r="A28" t="str">
            <v>Operating Expenses</v>
          </cell>
        </row>
        <row r="29">
          <cell r="A29" t="str">
            <v>Losses and Loss Expenses</v>
          </cell>
          <cell r="B29">
            <v>4127.7</v>
          </cell>
          <cell r="C29">
            <v>5357.4</v>
          </cell>
          <cell r="D29">
            <v>6064.6</v>
          </cell>
          <cell r="E29">
            <v>6867.2</v>
          </cell>
          <cell r="F29">
            <v>7320.9</v>
          </cell>
          <cell r="G29">
            <v>7813.5</v>
          </cell>
          <cell r="H29">
            <v>6574</v>
          </cell>
          <cell r="I29">
            <v>6299</v>
          </cell>
          <cell r="J29">
            <v>6898</v>
          </cell>
          <cell r="K29">
            <v>6268000000</v>
          </cell>
        </row>
        <row r="30">
          <cell r="A30" t="str">
            <v>Amortization of Deferred Policy Acquisition Costs</v>
          </cell>
          <cell r="B30">
            <v>1645.4</v>
          </cell>
          <cell r="C30">
            <v>1771.4</v>
          </cell>
          <cell r="D30">
            <v>2077.8000000000002</v>
          </cell>
          <cell r="E30">
            <v>2535.6</v>
          </cell>
          <cell r="F30">
            <v>2843.3</v>
          </cell>
          <cell r="G30">
            <v>2930.4</v>
          </cell>
          <cell r="H30">
            <v>2919</v>
          </cell>
          <cell r="I30">
            <v>3092</v>
          </cell>
          <cell r="J30">
            <v>3123</v>
          </cell>
          <cell r="K30">
            <v>3021000000</v>
          </cell>
        </row>
        <row r="31">
          <cell r="A31" t="str">
            <v>Other Insurance Operating Costs and Expenses</v>
          </cell>
          <cell r="B31">
            <v>448.6</v>
          </cell>
          <cell r="C31">
            <v>483.4</v>
          </cell>
          <cell r="D31">
            <v>594.1</v>
          </cell>
          <cell r="E31">
            <v>704.7</v>
          </cell>
          <cell r="F31">
            <v>630.1</v>
          </cell>
          <cell r="G31">
            <v>512.1</v>
          </cell>
          <cell r="H31">
            <v>550</v>
          </cell>
          <cell r="I31">
            <v>444</v>
          </cell>
          <cell r="J31">
            <v>441</v>
          </cell>
          <cell r="K31">
            <v>416000000</v>
          </cell>
        </row>
        <row r="32">
          <cell r="A32" t="str">
            <v>Investment Expenses</v>
          </cell>
          <cell r="B32">
            <v>13.7</v>
          </cell>
          <cell r="C32">
            <v>14.1</v>
          </cell>
          <cell r="D32">
            <v>24.7</v>
          </cell>
          <cell r="E32">
            <v>29</v>
          </cell>
          <cell r="F32">
            <v>24.7</v>
          </cell>
          <cell r="G32">
            <v>29.2</v>
          </cell>
          <cell r="H32">
            <v>34</v>
          </cell>
          <cell r="I32">
            <v>35</v>
          </cell>
          <cell r="J32">
            <v>32</v>
          </cell>
          <cell r="K32">
            <v>39000000</v>
          </cell>
        </row>
        <row r="33">
          <cell r="A33" t="str">
            <v>Other Expenses</v>
          </cell>
          <cell r="B33">
            <v>87.9</v>
          </cell>
          <cell r="C33">
            <v>110.1</v>
          </cell>
          <cell r="D33">
            <v>101.4</v>
          </cell>
          <cell r="E33">
            <v>150.4</v>
          </cell>
          <cell r="F33">
            <v>110.9</v>
          </cell>
          <cell r="G33">
            <v>160.69999999999999</v>
          </cell>
          <cell r="H33">
            <v>207</v>
          </cell>
          <cell r="I33">
            <v>48</v>
          </cell>
          <cell r="J33">
            <v>36</v>
          </cell>
          <cell r="K33">
            <v>16000000</v>
          </cell>
        </row>
        <row r="34">
          <cell r="A34" t="str">
            <v>Corporate Expenses</v>
          </cell>
          <cell r="B34">
            <v>77.2</v>
          </cell>
          <cell r="C34">
            <v>83.6</v>
          </cell>
          <cell r="D34">
            <v>109.3</v>
          </cell>
          <cell r="E34">
            <v>173.5</v>
          </cell>
          <cell r="F34">
            <v>179.1</v>
          </cell>
          <cell r="G34">
            <v>189.4</v>
          </cell>
          <cell r="H34">
            <v>194</v>
          </cell>
          <cell r="I34">
            <v>252</v>
          </cell>
          <cell r="J34">
            <v>284</v>
          </cell>
          <cell r="K34">
            <v>294000000</v>
          </cell>
        </row>
        <row r="35">
          <cell r="A35" t="str">
            <v>TOTAL LOSSES AND EXPENSES</v>
          </cell>
          <cell r="B35">
            <v>6400.5</v>
          </cell>
          <cell r="C35">
            <v>7820</v>
          </cell>
          <cell r="D35">
            <v>8971.9</v>
          </cell>
          <cell r="E35">
            <v>10460.4</v>
          </cell>
          <cell r="F35">
            <v>11109</v>
          </cell>
          <cell r="G35">
            <v>11635.3</v>
          </cell>
          <cell r="H35">
            <v>10478</v>
          </cell>
          <cell r="I35">
            <v>10170</v>
          </cell>
          <cell r="J35">
            <v>10814</v>
          </cell>
          <cell r="K35">
            <v>10054000000</v>
          </cell>
        </row>
        <row r="36">
          <cell r="A36" t="str">
            <v>INCOME BEFORE FEDERAL AND FOREIGN INCOME TAX</v>
          </cell>
          <cell r="B36">
            <v>851</v>
          </cell>
          <cell r="C36">
            <v>-66</v>
          </cell>
          <cell r="D36">
            <v>168.4</v>
          </cell>
          <cell r="E36">
            <v>933.6</v>
          </cell>
          <cell r="F36">
            <v>2068.1999999999998</v>
          </cell>
          <cell r="G36">
            <v>2447</v>
          </cell>
          <cell r="H36">
            <v>3525</v>
          </cell>
          <cell r="I36">
            <v>3937</v>
          </cell>
          <cell r="J36">
            <v>2407</v>
          </cell>
          <cell r="K36">
            <v>2962000000</v>
          </cell>
        </row>
        <row r="37">
          <cell r="A37" t="str">
            <v>Non-Operating Expenses</v>
          </cell>
        </row>
        <row r="38">
          <cell r="A38" t="str">
            <v>Federal and Foreign Income Tax</v>
          </cell>
          <cell r="B38">
            <v>136.4</v>
          </cell>
          <cell r="C38">
            <v>-177.5</v>
          </cell>
          <cell r="D38">
            <v>-54.5</v>
          </cell>
          <cell r="E38">
            <v>124.8</v>
          </cell>
          <cell r="F38">
            <v>519.79999999999995</v>
          </cell>
          <cell r="G38">
            <v>621.1</v>
          </cell>
          <cell r="H38">
            <v>997</v>
          </cell>
          <cell r="I38">
            <v>1130</v>
          </cell>
          <cell r="J38">
            <v>603</v>
          </cell>
          <cell r="K38">
            <v>779000000</v>
          </cell>
        </row>
        <row r="39">
          <cell r="A39" t="str">
            <v>Earnings</v>
          </cell>
        </row>
        <row r="40">
          <cell r="A40" t="str">
            <v>Dividends per Share</v>
          </cell>
          <cell r="F40">
            <v>1.56</v>
          </cell>
        </row>
        <row r="41">
          <cell r="A41" t="str">
            <v>Total Cash Common Dividends</v>
          </cell>
          <cell r="F41">
            <v>298.2</v>
          </cell>
        </row>
        <row r="42">
          <cell r="A42" t="str">
            <v>Basic</v>
          </cell>
          <cell r="B42">
            <v>4.0999999999999996</v>
          </cell>
          <cell r="C42">
            <v>0.65</v>
          </cell>
          <cell r="D42">
            <v>1.31</v>
          </cell>
          <cell r="E42">
            <v>4.51</v>
          </cell>
          <cell r="F42">
            <v>8.15</v>
          </cell>
          <cell r="G42">
            <v>9.2100000000000009</v>
          </cell>
          <cell r="H42">
            <v>6.13</v>
          </cell>
          <cell r="I42">
            <v>7.13</v>
          </cell>
          <cell r="J42">
            <v>5</v>
          </cell>
          <cell r="K42">
            <v>6.24</v>
          </cell>
        </row>
        <row r="43">
          <cell r="A43" t="str">
            <v>Diluted</v>
          </cell>
          <cell r="B43">
            <v>4.01</v>
          </cell>
          <cell r="C43">
            <v>0.63</v>
          </cell>
          <cell r="D43">
            <v>1.29</v>
          </cell>
          <cell r="E43">
            <v>4.46</v>
          </cell>
          <cell r="F43">
            <v>8.01</v>
          </cell>
          <cell r="G43">
            <v>8.94</v>
          </cell>
          <cell r="H43">
            <v>5.98</v>
          </cell>
          <cell r="I43">
            <v>7.01</v>
          </cell>
          <cell r="J43">
            <v>4.92</v>
          </cell>
          <cell r="K43">
            <v>6.18</v>
          </cell>
        </row>
        <row r="44">
          <cell r="A44" t="str">
            <v>NET INCOME</v>
          </cell>
          <cell r="B44">
            <v>714.6</v>
          </cell>
          <cell r="C44">
            <v>111.5</v>
          </cell>
          <cell r="D44">
            <v>222.9</v>
          </cell>
          <cell r="E44">
            <v>808.8</v>
          </cell>
          <cell r="F44">
            <v>1548.4</v>
          </cell>
          <cell r="G44">
            <v>1825.9</v>
          </cell>
          <cell r="H44">
            <v>2528</v>
          </cell>
          <cell r="I44">
            <v>2807</v>
          </cell>
          <cell r="J44">
            <v>1804</v>
          </cell>
          <cell r="K44">
            <v>2183000000</v>
          </cell>
        </row>
        <row r="45">
          <cell r="A45" t="str">
            <v>Comprehensive Income</v>
          </cell>
        </row>
        <row r="46">
          <cell r="A46" t="str">
            <v>Change in Unrealized Appreciation of Investments, Net of Tax</v>
          </cell>
          <cell r="G46">
            <v>-313.8</v>
          </cell>
          <cell r="H46">
            <v>81</v>
          </cell>
        </row>
        <row r="47">
          <cell r="A47" t="str">
            <v>Foreign Currency Translation Gains (Losses), Net of Tax</v>
          </cell>
          <cell r="G47">
            <v>-22.3</v>
          </cell>
          <cell r="H47">
            <v>34</v>
          </cell>
        </row>
        <row r="48">
          <cell r="A48" t="str">
            <v>COMPREHENSIVE INCOME</v>
          </cell>
          <cell r="G48">
            <v>1489.8</v>
          </cell>
          <cell r="H48">
            <v>2643</v>
          </cell>
        </row>
        <row r="49">
          <cell r="A49" t="str">
            <v>Reference Items</v>
          </cell>
        </row>
        <row r="50">
          <cell r="A50" t="str">
            <v>Pension Plan Asset Category-Cash (amount)</v>
          </cell>
          <cell r="K50">
            <v>0</v>
          </cell>
        </row>
        <row r="51">
          <cell r="A51" t="str">
            <v>Pension Plan Asset Category-Company Stock(amount)</v>
          </cell>
          <cell r="K51">
            <v>0</v>
          </cell>
        </row>
        <row r="52">
          <cell r="A52" t="str">
            <v>Pension Plan Asset Category-Real Estate (amount)</v>
          </cell>
          <cell r="K52">
            <v>0</v>
          </cell>
        </row>
        <row r="53">
          <cell r="A53" t="str">
            <v>Pro Forma Net Income (stock compensation)</v>
          </cell>
          <cell r="B53">
            <v>669.6</v>
          </cell>
          <cell r="C53">
            <v>65.7</v>
          </cell>
          <cell r="D53">
            <v>168.4</v>
          </cell>
          <cell r="E53">
            <v>808.8</v>
          </cell>
          <cell r="F53">
            <v>1548.4</v>
          </cell>
        </row>
        <row r="54">
          <cell r="A54" t="str">
            <v>Pro Forma Diluted EPS (stock compensation)</v>
          </cell>
          <cell r="B54">
            <v>3.76</v>
          </cell>
          <cell r="C54">
            <v>0.37</v>
          </cell>
          <cell r="D54">
            <v>0.97</v>
          </cell>
          <cell r="E54">
            <v>4.46</v>
          </cell>
          <cell r="F54">
            <v>8.01</v>
          </cell>
        </row>
        <row r="55">
          <cell r="A55" t="str">
            <v>Actual Return/Loss On Pension Plan Assets</v>
          </cell>
          <cell r="B55">
            <v>594.1</v>
          </cell>
        </row>
        <row r="56">
          <cell r="A56" t="str">
            <v>Insurance Operating Costs (Non-Life)</v>
          </cell>
          <cell r="B56">
            <v>396.4</v>
          </cell>
          <cell r="C56">
            <v>431.1</v>
          </cell>
          <cell r="D56">
            <v>568.79999999999995</v>
          </cell>
          <cell r="E56">
            <v>675.2</v>
          </cell>
        </row>
        <row r="57">
          <cell r="A57" t="str">
            <v>Pension Plan Asset Category-Other (%)</v>
          </cell>
          <cell r="J57">
            <v>0</v>
          </cell>
        </row>
        <row r="58">
          <cell r="A58" t="str">
            <v>Pension Plan Asset Category-Cash (%)</v>
          </cell>
          <cell r="J58">
            <v>0</v>
          </cell>
        </row>
        <row r="59">
          <cell r="A59" t="str">
            <v>Pension Plan Asset Category-Real Estate (%)</v>
          </cell>
          <cell r="J59">
            <v>0</v>
          </cell>
        </row>
        <row r="60">
          <cell r="A60" t="str">
            <v>Pension Plan Asset Category-Company Stock (%)</v>
          </cell>
          <cell r="J60">
            <v>0</v>
          </cell>
        </row>
        <row r="61">
          <cell r="A61" t="str">
            <v>Underwriting Income</v>
          </cell>
          <cell r="B61">
            <v>-23.6</v>
          </cell>
          <cell r="C61">
            <v>-903.5</v>
          </cell>
          <cell r="D61">
            <v>-625.9</v>
          </cell>
          <cell r="E61">
            <v>104.5</v>
          </cell>
          <cell r="I61">
            <v>2116</v>
          </cell>
          <cell r="K61">
            <v>1631</v>
          </cell>
        </row>
        <row r="62">
          <cell r="A62" t="str">
            <v>Realized Investment Gains (Losses), Net</v>
          </cell>
          <cell r="B62">
            <v>51.5</v>
          </cell>
          <cell r="C62">
            <v>0.8</v>
          </cell>
          <cell r="D62">
            <v>33.9</v>
          </cell>
          <cell r="E62">
            <v>84.4</v>
          </cell>
          <cell r="G62">
            <v>383.5</v>
          </cell>
          <cell r="H62">
            <v>245</v>
          </cell>
          <cell r="I62">
            <v>374</v>
          </cell>
          <cell r="J62">
            <v>-371</v>
          </cell>
        </row>
        <row r="63">
          <cell r="A63" t="str">
            <v>Dividends Declared on Common Stock</v>
          </cell>
          <cell r="B63">
            <v>1.32</v>
          </cell>
          <cell r="C63">
            <v>1.36</v>
          </cell>
          <cell r="D63">
            <v>1.4</v>
          </cell>
          <cell r="E63">
            <v>1.44</v>
          </cell>
          <cell r="G63">
            <v>1.72</v>
          </cell>
          <cell r="H63">
            <v>1</v>
          </cell>
          <cell r="I63">
            <v>1.1599999999999999</v>
          </cell>
          <cell r="K63">
            <v>1.4</v>
          </cell>
        </row>
        <row r="64">
          <cell r="A64" t="str">
            <v>Accumulated postretirement benefit obligation</v>
          </cell>
          <cell r="B64">
            <v>126.3</v>
          </cell>
          <cell r="C64">
            <v>137</v>
          </cell>
          <cell r="D64">
            <v>155</v>
          </cell>
        </row>
        <row r="65">
          <cell r="A65" t="str">
            <v>Decrease in unearned premiums</v>
          </cell>
          <cell r="B65">
            <v>187.3</v>
          </cell>
          <cell r="C65">
            <v>305.10000000000002</v>
          </cell>
          <cell r="D65">
            <v>962</v>
          </cell>
          <cell r="E65">
            <v>885.4</v>
          </cell>
          <cell r="I65">
            <v>74</v>
          </cell>
          <cell r="J65">
            <v>46</v>
          </cell>
          <cell r="K65">
            <v>254</v>
          </cell>
        </row>
        <row r="66">
          <cell r="A66" t="str">
            <v>Loss ratio</v>
          </cell>
          <cell r="B66">
            <v>67.5</v>
          </cell>
          <cell r="C66">
            <v>80.8</v>
          </cell>
          <cell r="D66">
            <v>75.400000000000006</v>
          </cell>
          <cell r="E66">
            <v>67.599999999999994</v>
          </cell>
          <cell r="F66">
            <v>63.1</v>
          </cell>
          <cell r="G66">
            <v>64.3</v>
          </cell>
          <cell r="H66">
            <v>55.2</v>
          </cell>
          <cell r="I66">
            <v>52.8</v>
          </cell>
          <cell r="J66">
            <v>58.5</v>
          </cell>
          <cell r="K66">
            <v>55.4</v>
          </cell>
        </row>
        <row r="67">
          <cell r="A67" t="str">
            <v>Expense ratio</v>
          </cell>
          <cell r="B67">
            <v>32.9</v>
          </cell>
          <cell r="C67">
            <v>32.6</v>
          </cell>
          <cell r="D67">
            <v>31.3</v>
          </cell>
          <cell r="E67">
            <v>30.4</v>
          </cell>
          <cell r="F67">
            <v>29.2</v>
          </cell>
          <cell r="G67">
            <v>28</v>
          </cell>
          <cell r="H67">
            <v>29</v>
          </cell>
          <cell r="I67">
            <v>30.1</v>
          </cell>
          <cell r="J67">
            <v>30.2</v>
          </cell>
          <cell r="K67">
            <v>30.6</v>
          </cell>
        </row>
        <row r="68">
          <cell r="A68" t="str">
            <v>Combined loss and expense ratio</v>
          </cell>
          <cell r="B68">
            <v>100.4</v>
          </cell>
          <cell r="C68">
            <v>113.4</v>
          </cell>
          <cell r="D68">
            <v>106.7</v>
          </cell>
          <cell r="E68">
            <v>98</v>
          </cell>
          <cell r="F68">
            <v>92.3</v>
          </cell>
          <cell r="G68">
            <v>92.3</v>
          </cell>
          <cell r="H68">
            <v>84.2</v>
          </cell>
          <cell r="I68">
            <v>82.9</v>
          </cell>
          <cell r="J68">
            <v>88.7</v>
          </cell>
          <cell r="K68">
            <v>86</v>
          </cell>
        </row>
        <row r="69">
          <cell r="A69" t="str">
            <v>Catastrophe Losses</v>
          </cell>
          <cell r="B69">
            <v>72</v>
          </cell>
          <cell r="C69">
            <v>114</v>
          </cell>
          <cell r="E69">
            <v>294</v>
          </cell>
          <cell r="F69">
            <v>350</v>
          </cell>
          <cell r="G69">
            <v>630</v>
          </cell>
          <cell r="H69">
            <v>173</v>
          </cell>
          <cell r="I69">
            <v>363</v>
          </cell>
          <cell r="J69">
            <v>607</v>
          </cell>
          <cell r="K69">
            <v>91</v>
          </cell>
        </row>
        <row r="70">
          <cell r="A70" t="str">
            <v>Change in Unrealized Appreciation or Depreciation of Investments, Net</v>
          </cell>
          <cell r="B70">
            <v>332.7</v>
          </cell>
        </row>
        <row r="71">
          <cell r="A71" t="str">
            <v>Change in Unrealized Appreciation or Depreciation Investments, Net of</v>
          </cell>
          <cell r="C71">
            <v>32.5</v>
          </cell>
        </row>
        <row r="72">
          <cell r="A72" t="str">
            <v>Change in Unrealized Appreciation or Depreciation</v>
          </cell>
          <cell r="D72">
            <v>332.9</v>
          </cell>
        </row>
        <row r="73">
          <cell r="A73" t="str">
            <v>Change in Unrealized Appreciation of Investments, Net of Ta</v>
          </cell>
          <cell r="E73">
            <v>88.1</v>
          </cell>
        </row>
        <row r="74">
          <cell r="A74" t="str">
            <v>Unrealized Gain (Loss) on Securities</v>
          </cell>
          <cell r="F74">
            <v>-49.1</v>
          </cell>
        </row>
        <row r="75">
          <cell r="A75" t="str">
            <v>Net unrealized gains (losses) recognizedin other comprehensive income</v>
          </cell>
          <cell r="G75">
            <v>-313.8</v>
          </cell>
        </row>
        <row r="76">
          <cell r="A76" t="str">
            <v>Unrealized holding gains (losses) arising during the year</v>
          </cell>
          <cell r="H76">
            <v>106</v>
          </cell>
        </row>
        <row r="77">
          <cell r="A77" t="str">
            <v>Change in Unrealized Appreciation of Investments</v>
          </cell>
          <cell r="I77">
            <v>134</v>
          </cell>
        </row>
        <row r="78">
          <cell r="A78" t="str">
            <v>Net unrealized gains (losses) recognized in other comprehensive incom</v>
          </cell>
          <cell r="J78">
            <v>-669</v>
          </cell>
        </row>
        <row r="79">
          <cell r="A79" t="str">
            <v>Change in Unrealized Other-Than-Temporary Impairment Losses on Invest</v>
          </cell>
          <cell r="K79">
            <v>-6</v>
          </cell>
        </row>
        <row r="80">
          <cell r="A80" t="str">
            <v>Change in Unrealized Appreciation or Depreciation of Investments</v>
          </cell>
          <cell r="K80">
            <v>1223</v>
          </cell>
        </row>
        <row r="81">
          <cell r="A81" t="str">
            <v>Foreign Currency Translation Gains (Losses)</v>
          </cell>
          <cell r="B81">
            <v>-23.7</v>
          </cell>
          <cell r="C81">
            <v>-4.5</v>
          </cell>
          <cell r="D81">
            <v>16.5</v>
          </cell>
          <cell r="E81">
            <v>68.5</v>
          </cell>
          <cell r="F81">
            <v>67</v>
          </cell>
          <cell r="G81">
            <v>-22.3</v>
          </cell>
          <cell r="H81">
            <v>34</v>
          </cell>
          <cell r="I81">
            <v>125</v>
          </cell>
          <cell r="J81">
            <v>-226</v>
          </cell>
          <cell r="K81">
            <v>170</v>
          </cell>
        </row>
        <row r="82">
          <cell r="A82" t="str">
            <v>Change in Postretirement Benefit Costs Not Yet Recognized in Net Inco</v>
          </cell>
          <cell r="K82">
            <v>98</v>
          </cell>
        </row>
        <row r="83">
          <cell r="A83" t="str">
            <v>COMPREHENSIVE INCOME</v>
          </cell>
          <cell r="B83">
            <v>1023.6</v>
          </cell>
          <cell r="C83">
            <v>139.5</v>
          </cell>
          <cell r="D83">
            <v>572.29999999999995</v>
          </cell>
          <cell r="E83">
            <v>965.4</v>
          </cell>
          <cell r="F83">
            <v>1566.3</v>
          </cell>
          <cell r="I83">
            <v>3049</v>
          </cell>
          <cell r="J83">
            <v>625</v>
          </cell>
          <cell r="K83">
            <v>3668</v>
          </cell>
        </row>
        <row r="84">
          <cell r="A84" t="str">
            <v>Interest Expense</v>
          </cell>
          <cell r="G84">
            <v>134.80000000000001</v>
          </cell>
          <cell r="H84">
            <v>134</v>
          </cell>
          <cell r="I84">
            <v>206</v>
          </cell>
          <cell r="J84">
            <v>240</v>
          </cell>
          <cell r="K84">
            <v>248</v>
          </cell>
        </row>
        <row r="85">
          <cell r="A85" t="str">
            <v>United States</v>
          </cell>
          <cell r="K85">
            <v>532</v>
          </cell>
        </row>
        <row r="86">
          <cell r="A86" t="str">
            <v>Foreign</v>
          </cell>
          <cell r="K86">
            <v>161</v>
          </cell>
        </row>
        <row r="87">
          <cell r="A87" t="str">
            <v>Deferred tax (credit), principally United States</v>
          </cell>
          <cell r="K87">
            <v>86</v>
          </cell>
        </row>
        <row r="88">
          <cell r="A88" t="str">
            <v>Actual tax</v>
          </cell>
          <cell r="B88">
            <v>16</v>
          </cell>
          <cell r="C88">
            <v>-268.89999999999998</v>
          </cell>
          <cell r="D88">
            <v>-32.4</v>
          </cell>
          <cell r="E88">
            <v>13.4</v>
          </cell>
          <cell r="F88">
            <v>25.1</v>
          </cell>
          <cell r="G88">
            <v>25.4</v>
          </cell>
          <cell r="H88">
            <v>28.3</v>
          </cell>
          <cell r="K88">
            <v>26.3</v>
          </cell>
        </row>
        <row r="89">
          <cell r="A89" t="str">
            <v>Net premiums written</v>
          </cell>
          <cell r="B89">
            <v>6333.2</v>
          </cell>
          <cell r="C89">
            <v>6961.5</v>
          </cell>
          <cell r="D89">
            <v>9047.2999999999993</v>
          </cell>
          <cell r="E89">
            <v>11067.9</v>
          </cell>
          <cell r="F89">
            <v>12052.9</v>
          </cell>
          <cell r="G89">
            <v>12282.6</v>
          </cell>
          <cell r="H89">
            <v>11974</v>
          </cell>
          <cell r="I89">
            <v>11872</v>
          </cell>
          <cell r="J89">
            <v>11782</v>
          </cell>
          <cell r="K89">
            <v>11077</v>
          </cell>
        </row>
        <row r="90">
          <cell r="A90" t="str">
            <v>Net premiums earned</v>
          </cell>
          <cell r="B90">
            <v>6145.9</v>
          </cell>
          <cell r="C90">
            <v>6656.4</v>
          </cell>
          <cell r="D90">
            <v>8085.3</v>
          </cell>
          <cell r="E90">
            <v>10182.5</v>
          </cell>
          <cell r="F90">
            <v>11635.7</v>
          </cell>
          <cell r="G90">
            <v>12176</v>
          </cell>
          <cell r="H90">
            <v>11958</v>
          </cell>
          <cell r="I90">
            <v>11946</v>
          </cell>
          <cell r="J90">
            <v>11828</v>
          </cell>
          <cell r="K90">
            <v>11331</v>
          </cell>
        </row>
        <row r="91">
          <cell r="A91" t="str">
            <v>Stock Based Compensation Expense</v>
          </cell>
          <cell r="H91">
            <v>88</v>
          </cell>
          <cell r="I91">
            <v>87</v>
          </cell>
          <cell r="J91">
            <v>81</v>
          </cell>
          <cell r="K91">
            <v>80</v>
          </cell>
        </row>
        <row r="92">
          <cell r="A92" t="str">
            <v>Dividends Declared (per share $1.16, $1.00 and $.86)</v>
          </cell>
          <cell r="B92">
            <v>230.6</v>
          </cell>
          <cell r="C92">
            <v>234.8</v>
          </cell>
          <cell r="D92">
            <v>239.7</v>
          </cell>
          <cell r="E92">
            <v>258.89999999999998</v>
          </cell>
          <cell r="G92">
            <v>345.3</v>
          </cell>
          <cell r="H92">
            <v>417</v>
          </cell>
          <cell r="I92">
            <v>-457</v>
          </cell>
        </row>
        <row r="93">
          <cell r="A93" t="str">
            <v>Benefit obligation</v>
          </cell>
          <cell r="B93">
            <v>589.20000000000005</v>
          </cell>
          <cell r="C93">
            <v>665.2</v>
          </cell>
          <cell r="D93">
            <v>745.9</v>
          </cell>
          <cell r="E93">
            <v>944.3</v>
          </cell>
          <cell r="F93">
            <v>1076.9000000000001</v>
          </cell>
          <cell r="G93">
            <v>1292.9000000000001</v>
          </cell>
          <cell r="H93">
            <v>1533</v>
          </cell>
          <cell r="I93">
            <v>1658</v>
          </cell>
          <cell r="J93">
            <v>1761</v>
          </cell>
          <cell r="K93">
            <v>1900</v>
          </cell>
        </row>
        <row r="94">
          <cell r="A94" t="str">
            <v>Benefit obligation</v>
          </cell>
          <cell r="B94">
            <v>126.3</v>
          </cell>
          <cell r="C94">
            <v>137</v>
          </cell>
          <cell r="D94">
            <v>155</v>
          </cell>
          <cell r="E94">
            <v>212.4</v>
          </cell>
          <cell r="F94">
            <v>216</v>
          </cell>
          <cell r="G94">
            <v>274.7</v>
          </cell>
          <cell r="H94">
            <v>269</v>
          </cell>
          <cell r="I94">
            <v>289</v>
          </cell>
          <cell r="J94">
            <v>315</v>
          </cell>
          <cell r="K94">
            <v>338</v>
          </cell>
        </row>
        <row r="95">
          <cell r="A95" t="str">
            <v>Plan assets at fair value</v>
          </cell>
          <cell r="B95">
            <v>594.1</v>
          </cell>
          <cell r="C95">
            <v>538.79999999999995</v>
          </cell>
          <cell r="D95">
            <v>461.4</v>
          </cell>
          <cell r="E95">
            <v>771.4</v>
          </cell>
          <cell r="F95">
            <v>886.2</v>
          </cell>
          <cell r="G95">
            <v>1031.2</v>
          </cell>
          <cell r="H95">
            <v>1304</v>
          </cell>
          <cell r="I95">
            <v>1409</v>
          </cell>
          <cell r="J95">
            <v>1125</v>
          </cell>
          <cell r="K95">
            <v>1558</v>
          </cell>
        </row>
        <row r="96">
          <cell r="A96" t="str">
            <v>Plan assets at fair value</v>
          </cell>
          <cell r="F96">
            <v>13.4</v>
          </cell>
          <cell r="G96">
            <v>21.8</v>
          </cell>
          <cell r="H96">
            <v>26</v>
          </cell>
          <cell r="I96">
            <v>37</v>
          </cell>
          <cell r="J96">
            <v>32</v>
          </cell>
          <cell r="K96">
            <v>50</v>
          </cell>
        </row>
        <row r="97">
          <cell r="A97" t="str">
            <v>Funded status at end of year, included in other liabilities</v>
          </cell>
          <cell r="B97">
            <v>4.9000000000000004</v>
          </cell>
          <cell r="C97">
            <v>-126.4</v>
          </cell>
          <cell r="D97">
            <v>-284.5</v>
          </cell>
          <cell r="E97">
            <v>-172.9</v>
          </cell>
          <cell r="F97">
            <v>-190.7</v>
          </cell>
          <cell r="G97">
            <v>-261.7</v>
          </cell>
          <cell r="H97">
            <v>-229</v>
          </cell>
          <cell r="I97">
            <v>249</v>
          </cell>
          <cell r="J97">
            <v>636</v>
          </cell>
          <cell r="K97">
            <v>342</v>
          </cell>
        </row>
        <row r="98">
          <cell r="A98" t="str">
            <v>Funded status at end of year, included in other liabilities</v>
          </cell>
          <cell r="E98">
            <v>-212.4</v>
          </cell>
          <cell r="F98">
            <v>-202.6</v>
          </cell>
          <cell r="G98">
            <v>-252.9</v>
          </cell>
          <cell r="H98">
            <v>-243</v>
          </cell>
          <cell r="I98">
            <v>252</v>
          </cell>
          <cell r="J98">
            <v>283</v>
          </cell>
          <cell r="K98">
            <v>288</v>
          </cell>
        </row>
        <row r="99">
          <cell r="A99" t="str">
            <v>Accumulated Benefit Obligation (Pension)</v>
          </cell>
          <cell r="F99">
            <v>836.5</v>
          </cell>
          <cell r="G99">
            <v>1000</v>
          </cell>
          <cell r="H99">
            <v>1224</v>
          </cell>
          <cell r="I99">
            <v>1328</v>
          </cell>
          <cell r="J99">
            <v>1451</v>
          </cell>
          <cell r="K99">
            <v>1593</v>
          </cell>
        </row>
        <row r="100">
          <cell r="A100" t="str">
            <v>Discount rate</v>
          </cell>
          <cell r="B100">
            <v>7.5</v>
          </cell>
          <cell r="C100">
            <v>7.25</v>
          </cell>
          <cell r="D100">
            <v>7</v>
          </cell>
          <cell r="E100">
            <v>6.5</v>
          </cell>
          <cell r="F100">
            <v>6.25</v>
          </cell>
          <cell r="G100">
            <v>5.75</v>
          </cell>
          <cell r="H100">
            <v>5.75</v>
          </cell>
          <cell r="I100">
            <v>5.75</v>
          </cell>
          <cell r="J100">
            <v>6</v>
          </cell>
          <cell r="K100">
            <v>6</v>
          </cell>
        </row>
        <row r="101">
          <cell r="A101" t="str">
            <v>Rate of compensation increase</v>
          </cell>
          <cell r="B101">
            <v>4.5</v>
          </cell>
          <cell r="C101">
            <v>4.25</v>
          </cell>
          <cell r="D101">
            <v>4.5</v>
          </cell>
          <cell r="E101">
            <v>4.5</v>
          </cell>
          <cell r="F101">
            <v>4.5</v>
          </cell>
          <cell r="G101">
            <v>4.5</v>
          </cell>
          <cell r="H101">
            <v>4.5</v>
          </cell>
          <cell r="I101">
            <v>4.5</v>
          </cell>
          <cell r="J101">
            <v>4.5</v>
          </cell>
          <cell r="K101">
            <v>4.5</v>
          </cell>
        </row>
        <row r="102">
          <cell r="A102" t="str">
            <v>Employer Contribution (Pension)</v>
          </cell>
          <cell r="F102">
            <v>65</v>
          </cell>
          <cell r="G102">
            <v>126.9</v>
          </cell>
          <cell r="H102">
            <v>109</v>
          </cell>
          <cell r="I102">
            <v>93</v>
          </cell>
          <cell r="J102">
            <v>127</v>
          </cell>
          <cell r="K102">
            <v>228</v>
          </cell>
        </row>
        <row r="103">
          <cell r="A103" t="str">
            <v>Employer Contribution (Postretirement)</v>
          </cell>
          <cell r="F103">
            <v>12.8</v>
          </cell>
          <cell r="G103">
            <v>8</v>
          </cell>
          <cell r="H103">
            <v>2</v>
          </cell>
          <cell r="I103">
            <v>12</v>
          </cell>
          <cell r="J103">
            <v>10</v>
          </cell>
          <cell r="K103">
            <v>10</v>
          </cell>
        </row>
        <row r="104">
          <cell r="A104" t="str">
            <v>Service cost</v>
          </cell>
          <cell r="B104">
            <v>26.4</v>
          </cell>
          <cell r="C104">
            <v>28.6</v>
          </cell>
          <cell r="D104">
            <v>32.1</v>
          </cell>
          <cell r="E104">
            <v>42.7</v>
          </cell>
          <cell r="F104">
            <v>50.2</v>
          </cell>
          <cell r="G104">
            <v>57.6</v>
          </cell>
          <cell r="H104">
            <v>67</v>
          </cell>
          <cell r="I104">
            <v>79</v>
          </cell>
          <cell r="J104">
            <v>76</v>
          </cell>
          <cell r="K104">
            <v>73</v>
          </cell>
        </row>
        <row r="105">
          <cell r="A105" t="str">
            <v>Service cost</v>
          </cell>
          <cell r="B105">
            <v>4.8</v>
          </cell>
          <cell r="C105">
            <v>5</v>
          </cell>
          <cell r="D105">
            <v>5.2</v>
          </cell>
          <cell r="E105">
            <v>6.7</v>
          </cell>
          <cell r="F105">
            <v>6.7</v>
          </cell>
          <cell r="G105">
            <v>8.4</v>
          </cell>
          <cell r="H105">
            <v>9</v>
          </cell>
          <cell r="I105">
            <v>10</v>
          </cell>
          <cell r="J105">
            <v>10</v>
          </cell>
          <cell r="K105">
            <v>10</v>
          </cell>
        </row>
        <row r="106">
          <cell r="A106" t="str">
            <v>Interest cost</v>
          </cell>
          <cell r="B106">
            <v>40.200000000000003</v>
          </cell>
          <cell r="C106">
            <v>43.9</v>
          </cell>
          <cell r="D106">
            <v>46.9</v>
          </cell>
          <cell r="E106">
            <v>55.2</v>
          </cell>
          <cell r="F106">
            <v>61.2</v>
          </cell>
          <cell r="G106">
            <v>68.5</v>
          </cell>
          <cell r="H106">
            <v>75</v>
          </cell>
          <cell r="I106">
            <v>89</v>
          </cell>
          <cell r="J106">
            <v>99</v>
          </cell>
          <cell r="K106">
            <v>104</v>
          </cell>
        </row>
        <row r="107">
          <cell r="A107" t="str">
            <v>Interest cost</v>
          </cell>
          <cell r="B107">
            <v>8.6999999999999993</v>
          </cell>
          <cell r="C107">
            <v>9.1999999999999993</v>
          </cell>
          <cell r="D107">
            <v>9.9</v>
          </cell>
          <cell r="E107">
            <v>12.6</v>
          </cell>
          <cell r="F107">
            <v>12.6</v>
          </cell>
          <cell r="G107">
            <v>14.5</v>
          </cell>
          <cell r="H107">
            <v>14</v>
          </cell>
          <cell r="I107">
            <v>16</v>
          </cell>
          <cell r="J107">
            <v>17</v>
          </cell>
          <cell r="K107">
            <v>19</v>
          </cell>
        </row>
        <row r="108">
          <cell r="A108" t="str">
            <v>Expected return on plan assets</v>
          </cell>
          <cell r="B108">
            <v>-49.9</v>
          </cell>
          <cell r="C108">
            <v>-53.5</v>
          </cell>
          <cell r="D108">
            <v>-51.9</v>
          </cell>
          <cell r="E108">
            <v>-55</v>
          </cell>
          <cell r="F108">
            <v>-66.900000000000006</v>
          </cell>
          <cell r="G108">
            <v>-73.5</v>
          </cell>
          <cell r="H108">
            <v>-85</v>
          </cell>
          <cell r="I108">
            <v>-100</v>
          </cell>
          <cell r="J108">
            <v>-114</v>
          </cell>
          <cell r="K108">
            <v>-118</v>
          </cell>
        </row>
        <row r="109">
          <cell r="A109" t="str">
            <v>Expected return on plan assets</v>
          </cell>
          <cell r="F109">
            <v>-0.2</v>
          </cell>
          <cell r="G109">
            <v>-1.1000000000000001</v>
          </cell>
          <cell r="H109">
            <v>-2</v>
          </cell>
          <cell r="I109">
            <v>-2</v>
          </cell>
          <cell r="J109">
            <v>-3</v>
          </cell>
          <cell r="K109">
            <v>-4</v>
          </cell>
        </row>
        <row r="110">
          <cell r="A110" t="str">
            <v>Pension Expense (Income)</v>
          </cell>
          <cell r="B110">
            <v>10.4</v>
          </cell>
          <cell r="C110">
            <v>14</v>
          </cell>
          <cell r="D110">
            <v>36.700000000000003</v>
          </cell>
          <cell r="E110">
            <v>46.4</v>
          </cell>
          <cell r="F110">
            <v>58.7</v>
          </cell>
          <cell r="G110">
            <v>73.2</v>
          </cell>
          <cell r="H110">
            <v>91</v>
          </cell>
          <cell r="I110">
            <v>100</v>
          </cell>
          <cell r="J110">
            <v>112</v>
          </cell>
          <cell r="K110">
            <v>105</v>
          </cell>
        </row>
        <row r="111">
          <cell r="A111" t="str">
            <v>$</v>
          </cell>
          <cell r="B111">
            <v>12</v>
          </cell>
          <cell r="C111">
            <v>12.8</v>
          </cell>
          <cell r="D111">
            <v>14.2</v>
          </cell>
          <cell r="E111">
            <v>19.7</v>
          </cell>
          <cell r="F111">
            <v>24.4</v>
          </cell>
          <cell r="G111">
            <v>22.2</v>
          </cell>
          <cell r="H111">
            <v>22</v>
          </cell>
          <cell r="I111">
            <v>25</v>
          </cell>
          <cell r="J111">
            <v>25</v>
          </cell>
          <cell r="K111">
            <v>26</v>
          </cell>
        </row>
        <row r="112">
          <cell r="A112" t="str">
            <v>Discount Rate used on Liabs (other/healthcare) - %</v>
          </cell>
          <cell r="B112">
            <v>7.5</v>
          </cell>
          <cell r="C112">
            <v>7.25</v>
          </cell>
          <cell r="D112">
            <v>7</v>
          </cell>
          <cell r="E112">
            <v>6.5</v>
          </cell>
          <cell r="F112">
            <v>6.25</v>
          </cell>
          <cell r="G112">
            <v>5.75</v>
          </cell>
          <cell r="H112">
            <v>5.75</v>
          </cell>
          <cell r="I112">
            <v>5.75</v>
          </cell>
          <cell r="J112">
            <v>6</v>
          </cell>
          <cell r="K112">
            <v>6</v>
          </cell>
        </row>
        <row r="113">
          <cell r="A113" t="str">
            <v>Expected Return on Plan Assets (pension) - %</v>
          </cell>
          <cell r="B113">
            <v>9</v>
          </cell>
          <cell r="C113">
            <v>9</v>
          </cell>
          <cell r="D113">
            <v>8.75</v>
          </cell>
          <cell r="E113">
            <v>8.75</v>
          </cell>
          <cell r="F113">
            <v>8.5</v>
          </cell>
          <cell r="G113">
            <v>8.25</v>
          </cell>
          <cell r="H113">
            <v>8</v>
          </cell>
          <cell r="I113">
            <v>8</v>
          </cell>
          <cell r="J113">
            <v>8</v>
          </cell>
          <cell r="K113">
            <v>8</v>
          </cell>
        </row>
        <row r="114">
          <cell r="A114" t="str">
            <v>Expected Return on Plan Assets (other/healthcare) - %</v>
          </cell>
          <cell r="F114">
            <v>8.5</v>
          </cell>
          <cell r="G114">
            <v>8.25</v>
          </cell>
          <cell r="H114">
            <v>8</v>
          </cell>
          <cell r="I114">
            <v>8</v>
          </cell>
          <cell r="J114">
            <v>8</v>
          </cell>
          <cell r="K114">
            <v>8</v>
          </cell>
        </row>
        <row r="115">
          <cell r="A115" t="str">
            <v>Health Care Cost Trend Projected (next year) - %</v>
          </cell>
          <cell r="B115">
            <v>8.6999999999999993</v>
          </cell>
          <cell r="C115">
            <v>10</v>
          </cell>
          <cell r="D115">
            <v>9.3000000000000007</v>
          </cell>
          <cell r="E115">
            <v>11.5</v>
          </cell>
          <cell r="F115">
            <v>10</v>
          </cell>
          <cell r="G115">
            <v>9.5</v>
          </cell>
          <cell r="H115">
            <v>9.5</v>
          </cell>
          <cell r="I115">
            <v>8.75</v>
          </cell>
          <cell r="J115">
            <v>8.75</v>
          </cell>
          <cell r="K115">
            <v>8.6999999999999993</v>
          </cell>
        </row>
        <row r="116">
          <cell r="A116" t="str">
            <v>Rate to which the cost trend rate is assumed to decline (the ultimate</v>
          </cell>
          <cell r="B116">
            <v>6</v>
          </cell>
          <cell r="C116">
            <v>5</v>
          </cell>
          <cell r="F116">
            <v>5</v>
          </cell>
          <cell r="G116">
            <v>5</v>
          </cell>
          <cell r="H116">
            <v>5</v>
          </cell>
          <cell r="I116">
            <v>5</v>
          </cell>
          <cell r="J116">
            <v>5</v>
          </cell>
          <cell r="K116">
            <v>4.5</v>
          </cell>
        </row>
        <row r="117">
          <cell r="A117" t="str">
            <v>Discount rate</v>
          </cell>
          <cell r="K117">
            <v>29</v>
          </cell>
        </row>
        <row r="118">
          <cell r="A118" t="str">
            <v>Short term investments</v>
          </cell>
          <cell r="K118">
            <v>33</v>
          </cell>
        </row>
        <row r="119">
          <cell r="A119" t="str">
            <v>Corporate bonds</v>
          </cell>
          <cell r="K119">
            <v>232</v>
          </cell>
        </row>
        <row r="120">
          <cell r="A120" t="str">
            <v>U.S. Government and government agency and authority obligations</v>
          </cell>
          <cell r="K120">
            <v>175</v>
          </cell>
        </row>
        <row r="121">
          <cell r="A121" t="str">
            <v>Foreign bonds</v>
          </cell>
          <cell r="K121">
            <v>33</v>
          </cell>
        </row>
        <row r="122">
          <cell r="A122" t="str">
            <v>Mortgage-backed securities</v>
          </cell>
          <cell r="K122">
            <v>121</v>
          </cell>
        </row>
        <row r="123">
          <cell r="A123" t="str">
            <v>Equity securities</v>
          </cell>
          <cell r="K123">
            <v>935</v>
          </cell>
        </row>
        <row r="124">
          <cell r="A124" t="str">
            <v>$</v>
          </cell>
          <cell r="J124">
            <v>96</v>
          </cell>
          <cell r="K124">
            <v>78</v>
          </cell>
        </row>
        <row r="125">
          <cell r="A125" t="str">
            <v>Expected Benefit Payments - Year 2</v>
          </cell>
          <cell r="J125">
            <v>66</v>
          </cell>
          <cell r="K125">
            <v>72</v>
          </cell>
        </row>
        <row r="126">
          <cell r="A126" t="str">
            <v>Expected Benefit Payments - Year 3</v>
          </cell>
          <cell r="J126">
            <v>70</v>
          </cell>
          <cell r="K126">
            <v>79</v>
          </cell>
        </row>
        <row r="127">
          <cell r="A127" t="str">
            <v>Expected Benefit Payments - Year 4</v>
          </cell>
          <cell r="J127">
            <v>78</v>
          </cell>
          <cell r="K127">
            <v>85</v>
          </cell>
        </row>
        <row r="128">
          <cell r="A128" t="str">
            <v>Expected Benefit Payments - Year 5</v>
          </cell>
          <cell r="J128">
            <v>83</v>
          </cell>
          <cell r="K128">
            <v>92</v>
          </cell>
        </row>
        <row r="129">
          <cell r="A129" t="str">
            <v>Direct premiums written</v>
          </cell>
          <cell r="B129">
            <v>6741.6</v>
          </cell>
          <cell r="C129">
            <v>7534.3</v>
          </cell>
          <cell r="D129">
            <v>9799.2999999999993</v>
          </cell>
          <cell r="E129">
            <v>11337.7</v>
          </cell>
          <cell r="F129">
            <v>12001.3</v>
          </cell>
          <cell r="G129">
            <v>12179.6</v>
          </cell>
          <cell r="H129">
            <v>12224</v>
          </cell>
        </row>
        <row r="130">
          <cell r="A130" t="str">
            <v>2015-2019</v>
          </cell>
          <cell r="J130">
            <v>576</v>
          </cell>
          <cell r="K130">
            <v>626</v>
          </cell>
        </row>
        <row r="131">
          <cell r="A131" t="str">
            <v>Reinsurance assumed</v>
          </cell>
          <cell r="B131">
            <v>384.4</v>
          </cell>
          <cell r="C131">
            <v>525.20000000000005</v>
          </cell>
          <cell r="D131">
            <v>835.9</v>
          </cell>
          <cell r="E131">
            <v>1266</v>
          </cell>
          <cell r="F131">
            <v>1397.7</v>
          </cell>
          <cell r="G131">
            <v>1119.7</v>
          </cell>
          <cell r="H131">
            <v>954</v>
          </cell>
        </row>
        <row r="132">
          <cell r="A132" t="str">
            <v>Weighted average shares outstanding</v>
          </cell>
          <cell r="B132">
            <v>174.3</v>
          </cell>
          <cell r="C132">
            <v>172.2</v>
          </cell>
          <cell r="D132">
            <v>170.5</v>
          </cell>
          <cell r="E132">
            <v>179.2</v>
          </cell>
          <cell r="F132">
            <v>189.9</v>
          </cell>
          <cell r="G132">
            <v>198.2</v>
          </cell>
          <cell r="H132">
            <v>412.5</v>
          </cell>
          <cell r="I132">
            <v>393.6</v>
          </cell>
          <cell r="J132">
            <v>361.1</v>
          </cell>
          <cell r="K132">
            <v>350.1</v>
          </cell>
        </row>
        <row r="133">
          <cell r="A133" t="str">
            <v>Reinsurance ceded</v>
          </cell>
          <cell r="B133">
            <v>792.8</v>
          </cell>
          <cell r="C133">
            <v>1098</v>
          </cell>
          <cell r="D133">
            <v>1587.9</v>
          </cell>
          <cell r="E133">
            <v>1535.8</v>
          </cell>
          <cell r="F133">
            <v>1346.1</v>
          </cell>
          <cell r="G133">
            <v>1016.7</v>
          </cell>
          <cell r="H133">
            <v>1204</v>
          </cell>
        </row>
        <row r="134">
          <cell r="A134" t="str">
            <v>Basic earnings per share</v>
          </cell>
          <cell r="B134">
            <v>4.0999999999999996</v>
          </cell>
          <cell r="C134">
            <v>0.65</v>
          </cell>
          <cell r="D134">
            <v>1.31</v>
          </cell>
          <cell r="E134">
            <v>4.51</v>
          </cell>
          <cell r="F134">
            <v>8.15</v>
          </cell>
          <cell r="G134">
            <v>9.2100000000000009</v>
          </cell>
          <cell r="H134">
            <v>6.13</v>
          </cell>
          <cell r="I134">
            <v>7.13</v>
          </cell>
          <cell r="J134">
            <v>5</v>
          </cell>
          <cell r="K134">
            <v>6.24</v>
          </cell>
        </row>
        <row r="135">
          <cell r="A135" t="str">
            <v xml:space="preserve">Weighted average shares and potential shares assumed outstanding for </v>
          </cell>
          <cell r="B135">
            <v>178.3</v>
          </cell>
          <cell r="C135">
            <v>175.8</v>
          </cell>
          <cell r="D135">
            <v>172.9</v>
          </cell>
          <cell r="E135">
            <v>181.3</v>
          </cell>
          <cell r="F135">
            <v>193.2</v>
          </cell>
          <cell r="G135">
            <v>204.2</v>
          </cell>
          <cell r="H135">
            <v>422.4</v>
          </cell>
          <cell r="I135">
            <v>400.3</v>
          </cell>
          <cell r="J135">
            <v>366.8</v>
          </cell>
          <cell r="K135">
            <v>353</v>
          </cell>
        </row>
        <row r="136">
          <cell r="A136" t="str">
            <v>Diluted earnings per share</v>
          </cell>
          <cell r="B136">
            <v>4.01</v>
          </cell>
          <cell r="C136">
            <v>0.63</v>
          </cell>
          <cell r="D136">
            <v>1.29</v>
          </cell>
          <cell r="E136">
            <v>4.46</v>
          </cell>
          <cell r="F136">
            <v>8.01</v>
          </cell>
          <cell r="G136">
            <v>8.94</v>
          </cell>
          <cell r="H136">
            <v>5.98</v>
          </cell>
          <cell r="I136">
            <v>7.01</v>
          </cell>
          <cell r="J136">
            <v>4.92</v>
          </cell>
          <cell r="K136">
            <v>6.18</v>
          </cell>
        </row>
        <row r="137">
          <cell r="A137" t="str">
            <v>Fixed charges</v>
          </cell>
          <cell r="K137">
            <v>277</v>
          </cell>
        </row>
        <row r="138">
          <cell r="A138" t="str">
            <v>Equity securities</v>
          </cell>
          <cell r="E138">
            <v>60</v>
          </cell>
          <cell r="F138">
            <v>61</v>
          </cell>
          <cell r="G138">
            <v>60</v>
          </cell>
          <cell r="H138">
            <v>62</v>
          </cell>
          <cell r="I138">
            <v>60</v>
          </cell>
          <cell r="J138">
            <v>46</v>
          </cell>
        </row>
        <row r="139">
          <cell r="A139" t="str">
            <v>Fixed maturities</v>
          </cell>
          <cell r="E139">
            <v>40</v>
          </cell>
          <cell r="F139">
            <v>39</v>
          </cell>
          <cell r="G139">
            <v>40</v>
          </cell>
          <cell r="H139">
            <v>38</v>
          </cell>
          <cell r="I139">
            <v>40</v>
          </cell>
          <cell r="J139">
            <v>54</v>
          </cell>
        </row>
        <row r="140">
          <cell r="A140" t="str">
            <v>Reclassification adjustment for realized gains included in net income</v>
          </cell>
          <cell r="H140">
            <v>-25</v>
          </cell>
        </row>
        <row r="141">
          <cell r="A141" t="str">
            <v>Net income</v>
          </cell>
          <cell r="H141">
            <v>2528</v>
          </cell>
          <cell r="I141">
            <v>2807</v>
          </cell>
          <cell r="J141">
            <v>1804</v>
          </cell>
        </row>
        <row r="142">
          <cell r="A142" t="str">
            <v>Change in postretirement benefit costs not yet recognized in net inco</v>
          </cell>
          <cell r="I142">
            <v>-17</v>
          </cell>
          <cell r="J142">
            <v>-284</v>
          </cell>
        </row>
        <row r="143">
          <cell r="A143" t="str">
            <v>Investment Income (Non-Life)</v>
          </cell>
          <cell r="B143">
            <v>957.2</v>
          </cell>
          <cell r="C143">
            <v>982.8</v>
          </cell>
          <cell r="D143">
            <v>997.3</v>
          </cell>
          <cell r="E143">
            <v>1118.3</v>
          </cell>
          <cell r="G143">
            <v>1407.7</v>
          </cell>
          <cell r="H143">
            <v>1580</v>
          </cell>
          <cell r="I143">
            <v>1590</v>
          </cell>
        </row>
        <row r="144">
          <cell r="A144" t="str">
            <v>Claims and Losses (Non-Life)</v>
          </cell>
          <cell r="B144">
            <v>4127.7</v>
          </cell>
          <cell r="C144">
            <v>5357.4</v>
          </cell>
          <cell r="D144">
            <v>6064.6</v>
          </cell>
          <cell r="E144">
            <v>6867.2</v>
          </cell>
          <cell r="G144">
            <v>7813.5</v>
          </cell>
          <cell r="H144">
            <v>6574</v>
          </cell>
          <cell r="I144">
            <v>6299</v>
          </cell>
          <cell r="J144">
            <v>6898</v>
          </cell>
        </row>
        <row r="145">
          <cell r="A145" t="str">
            <v>Amortization of Deferred Policy Costs (Non-Life)</v>
          </cell>
          <cell r="B145">
            <v>1645.4</v>
          </cell>
          <cell r="C145">
            <v>1771.4</v>
          </cell>
          <cell r="D145">
            <v>2077.8000000000002</v>
          </cell>
          <cell r="E145">
            <v>2535.6</v>
          </cell>
          <cell r="G145">
            <v>2930.4</v>
          </cell>
          <cell r="H145">
            <v>2919</v>
          </cell>
          <cell r="I145">
            <v>3092</v>
          </cell>
          <cell r="J145">
            <v>3123</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B36:F43" totalsRowShown="0" headerRowDxfId="14" dataDxfId="13">
  <autoFilter ref="B36:F43" xr:uid="{00000000-0009-0000-0100-000002000000}"/>
  <tableColumns count="5">
    <tableColumn id="1" xr3:uid="{00000000-0010-0000-0000-000001000000}" name="Multiple/Valuation Method" dataDxfId="12"/>
    <tableColumn id="2" xr3:uid="{00000000-0010-0000-0000-000002000000}" name="Multiple" dataDxfId="11"/>
    <tableColumn id="3" xr3:uid="{00000000-0010-0000-0000-000003000000}" name="Estimated Value" dataDxfId="10"/>
    <tableColumn id="4" xr3:uid="{00000000-0010-0000-0000-000004000000}" name="Weight" dataDxfId="9" dataCellStyle="Percent"/>
    <tableColumn id="5" xr3:uid="{00000000-0010-0000-0000-000005000000}" name="Contribution" dataDxfId="8">
      <calculatedColumnFormula>E37*D37</calculatedColumnFormula>
    </tableColumn>
  </tableColumns>
  <tableStyleInfo name="TableStyleMedium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Table1" displayName="Table1" ref="B2:M19" totalsRowShown="0" headerRowDxfId="7">
  <autoFilter ref="B2:M19" xr:uid="{00000000-0009-0000-0100-000001000000}"/>
  <tableColumns count="12">
    <tableColumn id="1" xr3:uid="{00000000-0010-0000-0100-000001000000}" name="Quarter" dataDxfId="6"/>
    <tableColumn id="2" xr3:uid="{00000000-0010-0000-0100-000002000000}" name="Price (1)"/>
    <tableColumn id="3" xr3:uid="{00000000-0010-0000-0100-000003000000}" name="EPS" dataDxfId="5"/>
    <tableColumn id="4" xr3:uid="{00000000-0010-0000-0100-000004000000}" name="Implied Forward P/E (2)"/>
    <tableColumn id="5" xr3:uid="{00000000-0010-0000-0100-000005000000}" name="TRV Price"/>
    <tableColumn id="6" xr3:uid="{00000000-0010-0000-0100-000006000000}" name="TRV EPS"/>
    <tableColumn id="7" xr3:uid="{00000000-0010-0000-0100-000007000000}" name="TRV Forward P/E"/>
    <tableColumn id="8" xr3:uid="{00000000-0010-0000-0100-000008000000}" name="% of TRV P/E"/>
    <tableColumn id="11" xr3:uid="{00000000-0010-0000-0100-00000B000000}" name="S&amp;P 500 Price" dataDxfId="4"/>
    <tableColumn id="12" xr3:uid="{00000000-0010-0000-0100-00000C000000}" name="S&amp;P 500 EPS" dataDxfId="3" dataCellStyle="_x000a_bidires=100_x000d_"/>
    <tableColumn id="13" xr3:uid="{00000000-0010-0000-0100-00000D000000}" name="S&amp;P Implied Forward P/E"/>
    <tableColumn id="14" xr3:uid="{00000000-0010-0000-0100-00000E000000}" name="CB as % of S&amp;P 500 P/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www.wallstreetoasis.com/courses" TargetMode="External"/><Relationship Id="rId3" Type="http://schemas.openxmlformats.org/officeDocument/2006/relationships/hyperlink" Target="https://www.wallstreetoasis.com/industry-reports-wall-street-oasis" TargetMode="External"/><Relationship Id="rId7" Type="http://schemas.openxmlformats.org/officeDocument/2006/relationships/hyperlink" Target="https://www.wallstreetoasis.com/courses" TargetMode="External"/><Relationship Id="rId12" Type="http://schemas.openxmlformats.org/officeDocument/2006/relationships/drawing" Target="../drawings/drawing1.xml"/><Relationship Id="rId2" Type="http://schemas.openxmlformats.org/officeDocument/2006/relationships/hyperlink" Target="https://www.wallstreetoasis.com/top-frequently-asked-questions" TargetMode="External"/><Relationship Id="rId1" Type="http://schemas.openxmlformats.org/officeDocument/2006/relationships/hyperlink" Target="https://www.wallstreetoasis.com/user/register" TargetMode="External"/><Relationship Id="rId6" Type="http://schemas.openxmlformats.org/officeDocument/2006/relationships/hyperlink" Target="https://www.wallstreetoasis.com/wso-elite-modeling-package-overview" TargetMode="External"/><Relationship Id="rId11" Type="http://schemas.openxmlformats.org/officeDocument/2006/relationships/hyperlink" Target="https://www.wallstreetoasis.com/gmat-pill-promo-code-333-off-gmat-prep-discount" TargetMode="External"/><Relationship Id="rId5" Type="http://schemas.openxmlformats.org/officeDocument/2006/relationships/hyperlink" Target="https://www.wallstreetoasis.com/the-talent-oasis" TargetMode="External"/><Relationship Id="rId10" Type="http://schemas.openxmlformats.org/officeDocument/2006/relationships/hyperlink" Target="https://www.wallstreetoasis.com/wall-street-mentors-finance-mock-interviews" TargetMode="External"/><Relationship Id="rId4" Type="http://schemas.openxmlformats.org/officeDocument/2006/relationships/hyperlink" Target="https://www.wallstreetoasis.com/all-wso-templates" TargetMode="External"/><Relationship Id="rId9" Type="http://schemas.openxmlformats.org/officeDocument/2006/relationships/hyperlink" Target="https://www.wallstreetoasis.com/best-resume-review-service-finance-pros-help-your-cv"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 Id="rId6" Type="http://schemas.openxmlformats.org/officeDocument/2006/relationships/comments" Target="../comments2.xml"/><Relationship Id="rId5" Type="http://schemas.openxmlformats.org/officeDocument/2006/relationships/vmlDrawing" Target="../drawings/vmlDrawing5.vml"/><Relationship Id="rId4" Type="http://schemas.openxmlformats.org/officeDocument/2006/relationships/vmlDrawing" Target="../drawings/vmlDrawing4.vm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5" Type="http://schemas.openxmlformats.org/officeDocument/2006/relationships/comments" Target="../comments3.xml"/><Relationship Id="rId4" Type="http://schemas.openxmlformats.org/officeDocument/2006/relationships/vmlDrawing" Target="../drawings/vmlDrawing7.v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5" Type="http://schemas.openxmlformats.org/officeDocument/2006/relationships/comments" Target="../comments4.xml"/><Relationship Id="rId4" Type="http://schemas.openxmlformats.org/officeDocument/2006/relationships/vmlDrawing" Target="../drawings/vmlDrawing10.v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 Id="rId5" Type="http://schemas.openxmlformats.org/officeDocument/2006/relationships/comments" Target="../comments5.xml"/><Relationship Id="rId4" Type="http://schemas.openxmlformats.org/officeDocument/2006/relationships/vmlDrawing" Target="../drawings/vmlDrawing12.v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5" Type="http://schemas.openxmlformats.org/officeDocument/2006/relationships/comments" Target="../comments6.xml"/><Relationship Id="rId4" Type="http://schemas.openxmlformats.org/officeDocument/2006/relationships/vmlDrawing" Target="../drawings/vmlDrawing15.v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5" Type="http://schemas.openxmlformats.org/officeDocument/2006/relationships/comments" Target="../comments7.xml"/><Relationship Id="rId4" Type="http://schemas.openxmlformats.org/officeDocument/2006/relationships/vmlDrawing" Target="../drawings/vmlDrawing17.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5" Type="http://schemas.openxmlformats.org/officeDocument/2006/relationships/comments" Target="../comments8.xml"/><Relationship Id="rId4" Type="http://schemas.openxmlformats.org/officeDocument/2006/relationships/vmlDrawing" Target="../drawings/vmlDrawing19.vml"/></Relationships>
</file>

<file path=xl/worksheets/_rels/sheet21.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s>
</file>

<file path=xl/worksheets/_rels/sheet34.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printerSettings" Target="../printerSettings/printerSettings48.bin"/><Relationship Id="rId1" Type="http://schemas.openxmlformats.org/officeDocument/2006/relationships/printerSettings" Target="../printerSettings/printerSettings47.bin"/><Relationship Id="rId5" Type="http://schemas.openxmlformats.org/officeDocument/2006/relationships/comments" Target="../comments9.xml"/><Relationship Id="rId4" Type="http://schemas.openxmlformats.org/officeDocument/2006/relationships/vmlDrawing" Target="../drawings/vmlDrawing21.vml"/></Relationships>
</file>

<file path=xl/worksheets/_rels/sheet35.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5" Type="http://schemas.openxmlformats.org/officeDocument/2006/relationships/comments" Target="../comments10.xml"/><Relationship Id="rId4" Type="http://schemas.openxmlformats.org/officeDocument/2006/relationships/vmlDrawing" Target="../drawings/vmlDrawing23.vm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52.bin"/><Relationship Id="rId1" Type="http://schemas.openxmlformats.org/officeDocument/2006/relationships/printerSettings" Target="../printerSettings/printerSettings51.bin"/><Relationship Id="rId6" Type="http://schemas.openxmlformats.org/officeDocument/2006/relationships/comments" Target="../comments11.xml"/><Relationship Id="rId5" Type="http://schemas.openxmlformats.org/officeDocument/2006/relationships/vmlDrawing" Target="../drawings/vmlDrawing25.vml"/><Relationship Id="rId4" Type="http://schemas.openxmlformats.org/officeDocument/2006/relationships/vmlDrawing" Target="../drawings/vmlDrawing24.vml"/></Relationships>
</file>

<file path=xl/worksheets/_rels/sheet4.xml.rels><?xml version="1.0" encoding="UTF-8" standalone="yes"?>
<Relationships xmlns="http://schemas.openxmlformats.org/package/2006/relationships"><Relationship Id="rId3" Type="http://schemas.openxmlformats.org/officeDocument/2006/relationships/hyperlink" Target="http://www.mergenthorizon.com.proxy.library.nd.edu/rp/xa/rsch/company/competitors?id=8354" TargetMode="External"/><Relationship Id="rId7" Type="http://schemas.openxmlformats.org/officeDocument/2006/relationships/table" Target="../tables/table2.xml"/><Relationship Id="rId2" Type="http://schemas.openxmlformats.org/officeDocument/2006/relationships/hyperlink" Target="http://www.mergenthorizon.com.proxy.library.nd.edu/rp/xa/rsch/company/competitors?id=398" TargetMode="External"/><Relationship Id="rId1" Type="http://schemas.openxmlformats.org/officeDocument/2006/relationships/hyperlink" Target="http://www.mergenthorizon.com.proxy.library.nd.edu/rp/xa/rsch/company/competitors?id=9569" TargetMode="External"/><Relationship Id="rId6" Type="http://schemas.openxmlformats.org/officeDocument/2006/relationships/drawing" Target="../drawings/drawing3.xml"/><Relationship Id="rId5" Type="http://schemas.openxmlformats.org/officeDocument/2006/relationships/hyperlink" Target="http://www.mergenthorizon.com.proxy.library.nd.edu/rp/xa/rsch/company/competitors?id=2255" TargetMode="External"/><Relationship Id="rId4" Type="http://schemas.openxmlformats.org/officeDocument/2006/relationships/hyperlink" Target="http://www.mergenthorizon.com.proxy.library.nd.edu/rp/xa/rsch/company/competitors?id=2354" TargetMode="Externa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H27"/>
  <sheetViews>
    <sheetView showGridLines="0" tabSelected="1" workbookViewId="0">
      <selection activeCell="F23" sqref="F23"/>
    </sheetView>
  </sheetViews>
  <sheetFormatPr defaultColWidth="10.81640625" defaultRowHeight="16"/>
  <cols>
    <col min="1" max="1" width="4.31640625" style="1240" customWidth="1"/>
    <col min="2" max="3" width="3.31640625" style="1240" customWidth="1"/>
    <col min="4" max="4" width="72" style="1240" customWidth="1"/>
    <col min="5" max="5" width="1.1796875" style="1240" customWidth="1"/>
    <col min="6" max="6" width="67.31640625" style="1240" customWidth="1"/>
    <col min="7" max="8" width="3.1796875" style="1240" customWidth="1"/>
    <col min="9" max="16384" width="10.81640625" style="1240"/>
  </cols>
  <sheetData>
    <row r="1" spans="2:8" ht="16.75" thickBot="1"/>
    <row r="2" spans="2:8">
      <c r="B2" s="1241"/>
      <c r="C2" s="1242"/>
      <c r="D2" s="1242"/>
      <c r="E2" s="1242"/>
      <c r="F2" s="1242"/>
      <c r="G2" s="1242"/>
      <c r="H2" s="1243"/>
    </row>
    <row r="3" spans="2:8">
      <c r="B3" s="1244"/>
      <c r="C3" s="1245"/>
      <c r="D3" s="1245"/>
      <c r="E3" s="1245"/>
      <c r="F3" s="1245"/>
      <c r="G3" s="1245"/>
      <c r="H3" s="1246"/>
    </row>
    <row r="4" spans="2:8">
      <c r="B4" s="1244"/>
      <c r="C4" s="1245"/>
      <c r="D4" s="1245"/>
      <c r="E4" s="1245"/>
      <c r="F4" s="1245"/>
      <c r="G4" s="1245"/>
      <c r="H4" s="1246"/>
    </row>
    <row r="5" spans="2:8">
      <c r="B5" s="1244"/>
      <c r="C5" s="1245"/>
      <c r="D5" s="1245"/>
      <c r="E5" s="1245"/>
      <c r="F5" s="1245"/>
      <c r="G5" s="1245"/>
      <c r="H5" s="1246"/>
    </row>
    <row r="6" spans="2:8">
      <c r="B6" s="1244"/>
      <c r="C6" s="1245"/>
      <c r="D6" s="1245"/>
      <c r="E6" s="1245"/>
      <c r="F6" s="1245"/>
      <c r="G6" s="1245"/>
      <c r="H6" s="1246"/>
    </row>
    <row r="7" spans="2:8">
      <c r="B7" s="1244"/>
      <c r="C7" s="1245"/>
      <c r="D7" s="1245"/>
      <c r="E7" s="1245"/>
      <c r="F7" s="1245"/>
      <c r="G7" s="1245"/>
      <c r="H7" s="1246"/>
    </row>
    <row r="8" spans="2:8">
      <c r="B8" s="1244"/>
      <c r="C8" s="1245"/>
      <c r="D8" s="1245"/>
      <c r="E8" s="1245"/>
      <c r="F8" s="1245"/>
      <c r="G8" s="1245"/>
      <c r="H8" s="1246"/>
    </row>
    <row r="9" spans="2:8">
      <c r="B9" s="1244"/>
      <c r="C9" s="1245"/>
      <c r="D9" s="1245"/>
      <c r="E9" s="1245"/>
      <c r="F9" s="1245"/>
      <c r="G9" s="1245"/>
      <c r="H9" s="1246"/>
    </row>
    <row r="10" spans="2:8">
      <c r="B10" s="1244"/>
      <c r="C10" s="1245"/>
      <c r="D10" s="1245"/>
      <c r="E10" s="1245"/>
      <c r="F10" s="1245"/>
      <c r="G10" s="1245"/>
      <c r="H10" s="1246"/>
    </row>
    <row r="11" spans="2:8">
      <c r="B11" s="1244"/>
      <c r="C11" s="1245"/>
      <c r="D11" s="1245"/>
      <c r="E11" s="1245"/>
      <c r="F11" s="1245"/>
      <c r="G11" s="1245"/>
      <c r="H11" s="1246"/>
    </row>
    <row r="12" spans="2:8">
      <c r="B12" s="1244"/>
      <c r="C12" s="1245"/>
      <c r="D12" s="1245"/>
      <c r="E12" s="1245"/>
      <c r="F12" s="1245"/>
      <c r="G12" s="1245"/>
      <c r="H12" s="1246"/>
    </row>
    <row r="13" spans="2:8" ht="71" customHeight="1">
      <c r="B13" s="1244"/>
      <c r="C13" s="1245"/>
      <c r="D13" s="1261" t="s">
        <v>1163</v>
      </c>
      <c r="E13" s="1261"/>
      <c r="F13" s="1261"/>
      <c r="G13" s="1245"/>
      <c r="H13" s="1246"/>
    </row>
    <row r="14" spans="2:8" ht="23.5">
      <c r="B14" s="1244"/>
      <c r="C14" s="1245"/>
      <c r="D14" s="1247"/>
      <c r="E14" s="1247"/>
      <c r="F14" s="1247"/>
      <c r="G14" s="1245"/>
      <c r="H14" s="1246"/>
    </row>
    <row r="15" spans="2:8" ht="23.5">
      <c r="B15" s="1244"/>
      <c r="C15" s="1245"/>
      <c r="D15" s="1248" t="s">
        <v>1164</v>
      </c>
      <c r="E15" s="1249"/>
      <c r="F15" s="1248" t="s">
        <v>1165</v>
      </c>
      <c r="G15" s="1245"/>
      <c r="H15" s="1246"/>
    </row>
    <row r="16" spans="2:8" ht="5" customHeight="1">
      <c r="B16" s="1244"/>
      <c r="C16" s="1245"/>
      <c r="D16" s="1250"/>
      <c r="E16" s="1250"/>
      <c r="F16" s="1251"/>
      <c r="G16" s="1245"/>
      <c r="H16" s="1246"/>
    </row>
    <row r="17" spans="2:8" ht="23.5">
      <c r="B17" s="1244"/>
      <c r="C17" s="1245"/>
      <c r="D17" s="1252" t="s">
        <v>1166</v>
      </c>
      <c r="E17" s="1252"/>
      <c r="F17" s="1253" t="s">
        <v>1175</v>
      </c>
      <c r="G17" s="1245"/>
      <c r="H17" s="1246"/>
    </row>
    <row r="18" spans="2:8" ht="23.5">
      <c r="B18" s="1244"/>
      <c r="C18" s="1245"/>
      <c r="D18" s="1253" t="s">
        <v>1168</v>
      </c>
      <c r="E18" s="1253"/>
      <c r="F18" s="1253" t="s">
        <v>1167</v>
      </c>
      <c r="G18" s="1245"/>
      <c r="H18" s="1246"/>
    </row>
    <row r="19" spans="2:8" ht="23.5">
      <c r="B19" s="1244"/>
      <c r="C19" s="1245"/>
      <c r="D19" s="1253" t="s">
        <v>1170</v>
      </c>
      <c r="E19" s="1253"/>
      <c r="F19" s="1253" t="s">
        <v>1176</v>
      </c>
      <c r="G19" s="1245"/>
      <c r="H19" s="1246"/>
    </row>
    <row r="20" spans="2:8" ht="23.5">
      <c r="B20" s="1244"/>
      <c r="C20" s="1245"/>
      <c r="D20" s="1253" t="s">
        <v>1172</v>
      </c>
      <c r="E20" s="1253"/>
      <c r="F20" s="1253" t="s">
        <v>1169</v>
      </c>
      <c r="G20" s="1245"/>
      <c r="H20" s="1246"/>
    </row>
    <row r="21" spans="2:8" ht="23.5">
      <c r="B21" s="1244"/>
      <c r="C21" s="1245"/>
      <c r="D21" s="1253" t="s">
        <v>1174</v>
      </c>
      <c r="E21" s="1253"/>
      <c r="F21" s="1260" t="s">
        <v>1171</v>
      </c>
      <c r="G21" s="1245"/>
      <c r="H21" s="1246"/>
    </row>
    <row r="22" spans="2:8" ht="23.5">
      <c r="B22" s="1254"/>
      <c r="C22" s="1255"/>
      <c r="D22" s="1250"/>
      <c r="E22" s="1250"/>
      <c r="F22" s="1260" t="s">
        <v>1173</v>
      </c>
      <c r="G22" s="1245"/>
      <c r="H22" s="1246"/>
    </row>
    <row r="23" spans="2:8">
      <c r="B23" s="1254"/>
      <c r="C23" s="1255"/>
      <c r="D23" s="1250"/>
      <c r="E23" s="1250"/>
      <c r="F23" s="1256"/>
      <c r="G23" s="1245"/>
      <c r="H23" s="1246"/>
    </row>
    <row r="24" spans="2:8">
      <c r="B24" s="1244"/>
      <c r="C24" s="1245"/>
      <c r="D24" s="1250"/>
      <c r="E24" s="1250"/>
      <c r="F24" s="1251"/>
      <c r="G24" s="1245"/>
      <c r="H24" s="1246"/>
    </row>
    <row r="25" spans="2:8">
      <c r="B25" s="1244"/>
      <c r="C25" s="1245"/>
      <c r="D25" s="1250"/>
      <c r="E25" s="1250"/>
      <c r="F25" s="1251"/>
      <c r="G25" s="1245"/>
      <c r="H25" s="1246"/>
    </row>
    <row r="26" spans="2:8">
      <c r="B26" s="1244"/>
      <c r="C26" s="1245"/>
      <c r="D26" s="1245"/>
      <c r="E26" s="1245"/>
      <c r="F26" s="1245"/>
      <c r="G26" s="1245"/>
      <c r="H26" s="1246"/>
    </row>
    <row r="27" spans="2:8" ht="16.75" thickBot="1">
      <c r="B27" s="1257"/>
      <c r="C27" s="1258"/>
      <c r="D27" s="1258"/>
      <c r="E27" s="1258"/>
      <c r="F27" s="1258"/>
      <c r="G27" s="1258"/>
      <c r="H27" s="1259"/>
    </row>
  </sheetData>
  <mergeCells count="1">
    <mergeCell ref="D13:F13"/>
  </mergeCells>
  <hyperlinks>
    <hyperlink ref="D17" r:id="rId1" xr:uid="{00000000-0004-0000-1000-000000000000}"/>
    <hyperlink ref="D18" r:id="rId2" xr:uid="{00000000-0004-0000-1000-000001000000}"/>
    <hyperlink ref="D19" r:id="rId3" xr:uid="{00000000-0004-0000-1000-000002000000}"/>
    <hyperlink ref="D20" r:id="rId4" display="WSO Templates (Resume, Networking, Models, etc)" xr:uid="{00000000-0004-0000-1000-000004000000}"/>
    <hyperlink ref="D21" r:id="rId5" display="The Talent Oasis - Land a Job!" xr:uid="{00000000-0004-0000-1000-000007000000}"/>
    <hyperlink ref="F17" r:id="rId6" xr:uid="{28F3DAB0-2B06-4C18-8C06-D75B177B42D2}"/>
    <hyperlink ref="F19" r:id="rId7" display="Financial Modeling Courses" xr:uid="{ABE32C42-E4BF-4C8A-9EB3-0161D47B1908}"/>
    <hyperlink ref="F18" r:id="rId8" xr:uid="{A5BEA107-0191-4481-8E79-94E5C5361D8B}"/>
    <hyperlink ref="F20" r:id="rId9" xr:uid="{C0F8D9DF-013F-4048-B344-EE8EA2CF2C5B}"/>
    <hyperlink ref="F21" r:id="rId10" xr:uid="{BA119E22-297C-417B-A0FA-3C2A424CDA38}"/>
    <hyperlink ref="F22" r:id="rId11" xr:uid="{67C3731F-4B8C-4662-8987-9135E5E880EA}"/>
  </hyperlinks>
  <pageMargins left="0.7" right="0.7" top="0.75" bottom="0.75" header="0.3" footer="0.3"/>
  <pageSetup orientation="portrait" horizontalDpi="0" verticalDpi="0"/>
  <drawing r:id="rId1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3">
    <tabColor rgb="FFFFFF00"/>
    <pageSetUpPr fitToPage="1"/>
  </sheetPr>
  <dimension ref="A1:Z36"/>
  <sheetViews>
    <sheetView showGridLines="0" topLeftCell="A7" workbookViewId="0">
      <selection activeCell="O29" sqref="O2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"Balance Sheet for "&amp;Name</f>
        <v>Balance Sheet for Chubb Corporation</v>
      </c>
      <c r="I1" s="33"/>
      <c r="R1" s="50"/>
    </row>
    <row r="2" spans="1:26">
      <c r="A2" s="89"/>
      <c r="B2" s="2" t="str">
        <f>Subheader</f>
        <v>Dollars in millions, except per share</v>
      </c>
      <c r="C2" s="3"/>
      <c r="D2" s="3"/>
      <c r="E2" s="3"/>
      <c r="F2" s="3"/>
      <c r="G2" s="3"/>
      <c r="H2" s="3"/>
      <c r="I2" s="56"/>
      <c r="J2" s="3"/>
      <c r="K2" s="3"/>
      <c r="L2" s="3"/>
      <c r="M2" s="3"/>
      <c r="N2" s="3"/>
      <c r="O2" s="3"/>
      <c r="P2" s="3"/>
      <c r="R2" s="50"/>
    </row>
    <row r="3" spans="1:26">
      <c r="A3" s="89"/>
      <c r="C3" s="542"/>
      <c r="I3" s="33"/>
      <c r="R3" s="50"/>
    </row>
    <row r="4" spans="1:26">
      <c r="A4" s="89"/>
      <c r="I4" s="58" t="str">
        <f>IS!I$4</f>
        <v>Historical Year Ending December 31,</v>
      </c>
      <c r="J4" s="20"/>
      <c r="K4" s="20"/>
      <c r="L4" s="20" t="str">
        <f>IS!L$4</f>
        <v>Projected Year Ending December 31,</v>
      </c>
      <c r="M4" s="20"/>
      <c r="N4" s="20"/>
      <c r="O4" s="20"/>
      <c r="P4" s="20"/>
    </row>
    <row r="5" spans="1:26">
      <c r="A5" s="89"/>
      <c r="I5" s="114">
        <f>IS!I$5</f>
        <v>2008</v>
      </c>
      <c r="J5" s="114">
        <f>IS!J$5</f>
        <v>2009</v>
      </c>
      <c r="K5" s="152">
        <f>IS!K$5</f>
        <v>2010</v>
      </c>
      <c r="L5" s="114">
        <f>IS!L$5</f>
        <v>2011</v>
      </c>
      <c r="M5" s="114">
        <f>IS!M$5</f>
        <v>2012</v>
      </c>
      <c r="N5" s="114">
        <f>IS!N$5</f>
        <v>2013</v>
      </c>
      <c r="O5" s="114">
        <f>IS!O$5</f>
        <v>2014</v>
      </c>
      <c r="P5" s="114">
        <f>IS!P$5</f>
        <v>2015</v>
      </c>
    </row>
    <row r="6" spans="1:26">
      <c r="A6" s="89"/>
      <c r="I6" s="33"/>
      <c r="K6" s="24"/>
      <c r="R6" s="50"/>
    </row>
    <row r="7" spans="1:26">
      <c r="A7" s="89" t="s">
        <v>118</v>
      </c>
      <c r="B7" t="s">
        <v>793</v>
      </c>
      <c r="I7" s="109">
        <f>'Balance Sheet'!J8</f>
        <v>2478</v>
      </c>
      <c r="J7" s="109">
        <f>'Balance Sheet'!K8</f>
        <v>1918</v>
      </c>
      <c r="K7" s="523">
        <f>'Balance Sheet'!L8</f>
        <v>2046</v>
      </c>
      <c r="L7" s="30">
        <v>2000</v>
      </c>
      <c r="M7" s="30">
        <f>L7</f>
        <v>2000</v>
      </c>
      <c r="N7" s="30">
        <f t="shared" ref="N7:P7" si="0">M7</f>
        <v>2000</v>
      </c>
      <c r="O7" s="30">
        <f t="shared" si="0"/>
        <v>2000</v>
      </c>
      <c r="P7" s="30">
        <f t="shared" si="0"/>
        <v>2000</v>
      </c>
      <c r="R7" s="102"/>
    </row>
    <row r="8" spans="1:26" s="6" customFormat="1">
      <c r="A8" s="89"/>
      <c r="B8" s="6" t="s">
        <v>196</v>
      </c>
      <c r="I8" s="109">
        <f>'Balance Sheet'!J9</f>
        <v>56</v>
      </c>
      <c r="J8" s="109">
        <f>'Balance Sheet'!K9</f>
        <v>51</v>
      </c>
      <c r="K8" s="523">
        <f>'Balance Sheet'!L9</f>
        <v>77</v>
      </c>
      <c r="L8" s="30">
        <f>cf!L32+60.904-30.452</f>
        <v>122.7557671232878</v>
      </c>
      <c r="M8" s="30">
        <f>cf!M32+1120.64</f>
        <v>971.72683001590667</v>
      </c>
      <c r="N8" s="30">
        <f>cf!N32-194.488</f>
        <v>1285.0415985063241</v>
      </c>
      <c r="O8" s="30">
        <f>cf!O32-1544.346</f>
        <v>1885.1221023665416</v>
      </c>
      <c r="P8" s="30">
        <f>cf!P32-2929.628</f>
        <v>2497.2042563039563</v>
      </c>
      <c r="R8" s="452"/>
      <c r="T8"/>
      <c r="U8"/>
      <c r="V8"/>
    </row>
    <row r="9" spans="1:26" s="6" customFormat="1">
      <c r="A9" s="89"/>
      <c r="B9" s="6" t="s">
        <v>458</v>
      </c>
      <c r="I9" s="109">
        <f>'Balance Sheet'!J10</f>
        <v>2201</v>
      </c>
      <c r="J9" s="109">
        <f>'Balance Sheet'!K10</f>
        <v>2101</v>
      </c>
      <c r="K9" s="523">
        <f>'Balance Sheet'!L10</f>
        <v>1974</v>
      </c>
      <c r="L9" s="205">
        <f>workingcap!L12</f>
        <v>1994.1191780821914</v>
      </c>
      <c r="M9" s="205">
        <f>workingcap!M12</f>
        <v>2093.825136986301</v>
      </c>
      <c r="N9" s="205">
        <f>workingcap!N12</f>
        <v>2135.7016397260268</v>
      </c>
      <c r="O9" s="205">
        <f>workingcap!O12</f>
        <v>2178.4156725205476</v>
      </c>
      <c r="P9" s="205">
        <f>workingcap!P12</f>
        <v>2221.9839859709587</v>
      </c>
      <c r="R9" s="452"/>
      <c r="U9"/>
      <c r="V9"/>
      <c r="Z9" s="424"/>
    </row>
    <row r="10" spans="1:26" s="6" customFormat="1">
      <c r="A10" s="89"/>
      <c r="B10" s="6" t="s">
        <v>454</v>
      </c>
      <c r="I10" s="109">
        <f>'Balance Sheet'!J11</f>
        <v>1271</v>
      </c>
      <c r="J10" s="109">
        <f>'Balance Sheet'!K11</f>
        <v>1200</v>
      </c>
      <c r="K10" s="523">
        <f>'Balance Sheet'!L11</f>
        <v>1282</v>
      </c>
      <c r="L10" s="205">
        <f>1200</f>
        <v>1200</v>
      </c>
      <c r="M10" s="205">
        <f>1200</f>
        <v>1200</v>
      </c>
      <c r="N10" s="205">
        <f>1200</f>
        <v>1200</v>
      </c>
      <c r="O10" s="205">
        <f>1200</f>
        <v>1200</v>
      </c>
      <c r="P10" s="205">
        <f>1200</f>
        <v>1200</v>
      </c>
      <c r="Q10" s="23"/>
      <c r="R10" s="452"/>
      <c r="T10"/>
      <c r="U10"/>
      <c r="V10"/>
    </row>
    <row r="11" spans="1:26">
      <c r="A11" s="89" t="s">
        <v>118</v>
      </c>
      <c r="C11" t="s">
        <v>211</v>
      </c>
      <c r="I11" s="366">
        <f>SUM(I7:I10)</f>
        <v>6006</v>
      </c>
      <c r="J11" s="366">
        <f t="shared" ref="J11:K11" si="1">SUM(J7:J10)</f>
        <v>5270</v>
      </c>
      <c r="K11" s="528">
        <f t="shared" si="1"/>
        <v>5379</v>
      </c>
      <c r="L11" s="366">
        <f>SUM(L7:L10)</f>
        <v>5316.8749452054799</v>
      </c>
      <c r="M11" s="366">
        <f>SUM(M7:M10)</f>
        <v>6265.5519670022077</v>
      </c>
      <c r="N11" s="366">
        <f>SUM(N7:N10)</f>
        <v>6620.7432382323514</v>
      </c>
      <c r="O11" s="366">
        <f>SUM(O7:O10)</f>
        <v>7263.5377748870887</v>
      </c>
      <c r="P11" s="366">
        <f>SUM(P7:P10)</f>
        <v>7919.188242274915</v>
      </c>
      <c r="Q11" s="13"/>
      <c r="R11" s="50"/>
    </row>
    <row r="12" spans="1:26">
      <c r="A12" s="89"/>
      <c r="E12" s="33"/>
      <c r="H12" s="33"/>
      <c r="I12" s="63"/>
      <c r="J12" s="63"/>
      <c r="K12" s="536"/>
      <c r="L12" s="374"/>
      <c r="M12" s="374"/>
      <c r="N12" s="374"/>
      <c r="O12" s="374"/>
      <c r="P12" s="13"/>
      <c r="Q12" s="13"/>
      <c r="R12" s="50"/>
    </row>
    <row r="13" spans="1:26" s="6" customFormat="1">
      <c r="A13" s="89"/>
      <c r="B13" s="6" t="s">
        <v>486</v>
      </c>
      <c r="H13" s="22"/>
      <c r="I13" s="108">
        <f>'Balance Sheet'!J14</f>
        <v>36260</v>
      </c>
      <c r="J13" s="22">
        <f>'Balance Sheet'!K14</f>
        <v>40086</v>
      </c>
      <c r="K13" s="142">
        <f>'Balance Sheet'!L14</f>
        <v>40167</v>
      </c>
      <c r="L13" s="205">
        <f>Investments!L19</f>
        <v>39811.10852021609</v>
      </c>
      <c r="M13" s="205">
        <f>Investments!M19</f>
        <v>40113.449195840483</v>
      </c>
      <c r="N13" s="205">
        <f>Investments!N19</f>
        <v>41358.682600640481</v>
      </c>
      <c r="O13" s="205">
        <f>Investments!O19</f>
        <v>42633.03411353648</v>
      </c>
      <c r="P13" s="205">
        <f>Investments!P19</f>
        <v>43937.0860966904</v>
      </c>
      <c r="Q13" s="23"/>
      <c r="R13" s="452"/>
      <c r="T13"/>
      <c r="U13"/>
      <c r="V13"/>
    </row>
    <row r="14" spans="1:26" s="6" customFormat="1">
      <c r="A14" s="89"/>
      <c r="B14" s="27" t="s">
        <v>791</v>
      </c>
      <c r="H14" s="22"/>
      <c r="I14" s="108">
        <f>'Balance Sheet'!J15</f>
        <v>2212</v>
      </c>
      <c r="J14" s="108">
        <f>'Balance Sheet'!K15</f>
        <v>2053</v>
      </c>
      <c r="K14" s="142">
        <f>'Balance Sheet'!L15</f>
        <v>1896</v>
      </c>
      <c r="L14" s="205">
        <f>amort!L18</f>
        <v>1896</v>
      </c>
      <c r="M14" s="205">
        <f>amort!M18</f>
        <v>1896</v>
      </c>
      <c r="N14" s="205">
        <f>amort!N18</f>
        <v>1896</v>
      </c>
      <c r="O14" s="205">
        <f>amort!O18</f>
        <v>1896</v>
      </c>
      <c r="P14" s="205">
        <f>amort!P18</f>
        <v>1896</v>
      </c>
      <c r="Q14" s="23"/>
      <c r="R14" s="452"/>
      <c r="T14"/>
      <c r="U14"/>
      <c r="V14"/>
    </row>
    <row r="15" spans="1:26" s="6" customFormat="1">
      <c r="A15" s="89"/>
      <c r="B15" s="98" t="s">
        <v>790</v>
      </c>
      <c r="H15" s="100"/>
      <c r="I15" s="63">
        <f>'Balance Sheet'!J16</f>
        <v>435</v>
      </c>
      <c r="J15" s="63">
        <f>'Balance Sheet'!K16</f>
        <v>460</v>
      </c>
      <c r="K15" s="142">
        <f>'Balance Sheet'!L16</f>
        <v>452</v>
      </c>
      <c r="L15" s="645">
        <f>other!L8</f>
        <v>452</v>
      </c>
      <c r="M15" s="645">
        <f>other!M8</f>
        <v>452</v>
      </c>
      <c r="N15" s="645">
        <f>other!N8</f>
        <v>452</v>
      </c>
      <c r="O15" s="645">
        <f>other!O8</f>
        <v>452</v>
      </c>
      <c r="P15" s="645">
        <f>other!P8</f>
        <v>452</v>
      </c>
      <c r="Q15" s="643"/>
      <c r="R15" s="452"/>
      <c r="T15"/>
      <c r="U15"/>
      <c r="V15"/>
    </row>
    <row r="16" spans="1:26" s="6" customFormat="1">
      <c r="A16" s="89"/>
      <c r="B16" s="103" t="s">
        <v>789</v>
      </c>
      <c r="D16" s="33"/>
      <c r="E16"/>
      <c r="H16"/>
      <c r="I16" s="108">
        <f>'Balance Sheet'!J17</f>
        <v>3516</v>
      </c>
      <c r="J16" s="108">
        <f>'Balance Sheet'!K17</f>
        <v>2580</v>
      </c>
      <c r="K16" s="142">
        <f>'Balance Sheet'!L17</f>
        <v>2349</v>
      </c>
      <c r="L16" s="645">
        <f>other!L9</f>
        <v>2349</v>
      </c>
      <c r="M16" s="645">
        <f>other!M9</f>
        <v>2349</v>
      </c>
      <c r="N16" s="645">
        <f>other!N9</f>
        <v>2349</v>
      </c>
      <c r="O16" s="645">
        <f>other!O9</f>
        <v>2349</v>
      </c>
      <c r="P16" s="645">
        <f>other!P9</f>
        <v>2349</v>
      </c>
      <c r="Q16" s="23"/>
      <c r="R16" s="452"/>
      <c r="T16"/>
      <c r="U16"/>
      <c r="V16"/>
    </row>
    <row r="17" spans="1:22" s="25" customFormat="1">
      <c r="A17" s="485" t="s">
        <v>118</v>
      </c>
      <c r="C17" s="25" t="s">
        <v>212</v>
      </c>
      <c r="I17" s="370">
        <f t="shared" ref="I17:P17" si="2">SUM(I11:I16)</f>
        <v>48429</v>
      </c>
      <c r="J17" s="370">
        <f t="shared" si="2"/>
        <v>50449</v>
      </c>
      <c r="K17" s="537">
        <f t="shared" si="2"/>
        <v>50243</v>
      </c>
      <c r="L17" s="370">
        <f t="shared" si="2"/>
        <v>49824.983465421567</v>
      </c>
      <c r="M17" s="370">
        <f t="shared" si="2"/>
        <v>51076.001162842687</v>
      </c>
      <c r="N17" s="370">
        <f t="shared" si="2"/>
        <v>52676.425838872834</v>
      </c>
      <c r="O17" s="370">
        <f t="shared" si="2"/>
        <v>54593.571888423568</v>
      </c>
      <c r="P17" s="370">
        <f t="shared" si="2"/>
        <v>56553.274338965319</v>
      </c>
      <c r="Q17" s="206"/>
      <c r="R17" s="453"/>
      <c r="T17" s="7"/>
      <c r="U17" s="7"/>
      <c r="V17" s="7"/>
    </row>
    <row r="18" spans="1:22">
      <c r="A18" s="89"/>
      <c r="D18" s="542"/>
      <c r="H18" s="5"/>
      <c r="I18" s="63"/>
      <c r="J18" s="63"/>
      <c r="K18" s="536"/>
      <c r="L18" s="374"/>
      <c r="M18" s="374"/>
      <c r="N18" s="374"/>
      <c r="O18" s="374"/>
      <c r="P18" s="13"/>
      <c r="Q18" s="13"/>
      <c r="R18" s="50"/>
    </row>
    <row r="19" spans="1:22" s="5" customFormat="1">
      <c r="A19" s="89"/>
      <c r="B19" s="5" t="s">
        <v>451</v>
      </c>
      <c r="I19" s="109">
        <f>'Balance Sheet'!J22</f>
        <v>22367</v>
      </c>
      <c r="J19" s="109">
        <f>'Balance Sheet'!K22</f>
        <v>22839</v>
      </c>
      <c r="K19" s="523">
        <f>'Balance Sheet'!L22</f>
        <v>22755</v>
      </c>
      <c r="L19" s="30">
        <f>workingcap!L16</f>
        <v>23158.974999999999</v>
      </c>
      <c r="M19" s="30">
        <f>workingcap!M16</f>
        <v>24316.923749999998</v>
      </c>
      <c r="N19" s="30">
        <f>workingcap!N16</f>
        <v>24803.262224999999</v>
      </c>
      <c r="O19" s="30">
        <f>workingcap!O16</f>
        <v>25299.327469499996</v>
      </c>
      <c r="P19" s="30">
        <f>workingcap!P16</f>
        <v>25805.31401889</v>
      </c>
      <c r="Q19" s="17"/>
      <c r="R19" s="453"/>
      <c r="T19"/>
      <c r="U19"/>
      <c r="V19"/>
    </row>
    <row r="20" spans="1:22" s="5" customFormat="1">
      <c r="A20" s="89"/>
      <c r="B20" t="s">
        <v>450</v>
      </c>
      <c r="C20"/>
      <c r="D20"/>
      <c r="E20"/>
      <c r="F20"/>
      <c r="G20"/>
      <c r="H20"/>
      <c r="I20" s="108">
        <f>'Balance Sheet'!J23</f>
        <v>6367</v>
      </c>
      <c r="J20" s="108">
        <f>'Balance Sheet'!K23</f>
        <v>6153</v>
      </c>
      <c r="K20" s="142">
        <f>'Balance Sheet'!L23</f>
        <v>6133</v>
      </c>
      <c r="L20" s="205">
        <f>workingcap!L17</f>
        <v>6056.1</v>
      </c>
      <c r="M20" s="205">
        <f>workingcap!M17</f>
        <v>6358.9050000000007</v>
      </c>
      <c r="N20" s="205">
        <f>workingcap!N17</f>
        <v>6486.0830999999998</v>
      </c>
      <c r="O20" s="205">
        <f>workingcap!O17</f>
        <v>6615.8047619999998</v>
      </c>
      <c r="P20" s="205">
        <f>workingcap!P17</f>
        <v>6748.1208572400001</v>
      </c>
      <c r="Q20" s="17"/>
      <c r="R20" s="453"/>
      <c r="T20"/>
      <c r="U20"/>
      <c r="V20"/>
    </row>
    <row r="21" spans="1:22">
      <c r="A21" s="89"/>
      <c r="B21" s="18" t="s">
        <v>265</v>
      </c>
      <c r="I21" s="108">
        <f>SUM('Balance Sheet'!J24,'Balance Sheet'!J25)</f>
        <v>2288</v>
      </c>
      <c r="J21" s="108">
        <f>SUM('Balance Sheet'!K24,'Balance Sheet'!K25)</f>
        <v>1848</v>
      </c>
      <c r="K21" s="142">
        <f>SUM('Balance Sheet'!L24,'Balance Sheet'!L25)</f>
        <v>1253</v>
      </c>
      <c r="L21" s="205">
        <f>workingcap!L18</f>
        <v>1345.8</v>
      </c>
      <c r="M21" s="205">
        <f>workingcap!M18</f>
        <v>833.72309999999982</v>
      </c>
      <c r="N21" s="205">
        <f>workingcap!N18</f>
        <v>850.39756199999988</v>
      </c>
      <c r="O21" s="205">
        <f>workingcap!O18</f>
        <v>867.40551323999989</v>
      </c>
      <c r="P21" s="205">
        <f>workingcap!P18</f>
        <v>884.75362350479986</v>
      </c>
      <c r="Q21" s="13"/>
      <c r="R21" s="50"/>
    </row>
    <row r="22" spans="1:22">
      <c r="A22" s="89" t="s">
        <v>118</v>
      </c>
      <c r="C22" t="s">
        <v>213</v>
      </c>
      <c r="G22" t="s">
        <v>297</v>
      </c>
      <c r="I22" s="366">
        <f>SUM(I19:I21)</f>
        <v>31022</v>
      </c>
      <c r="J22" s="366">
        <f t="shared" ref="J22:P22" si="3">SUM(J19:J21)</f>
        <v>30840</v>
      </c>
      <c r="K22" s="528">
        <f>SUM(K19:K21)</f>
        <v>30141</v>
      </c>
      <c r="L22" s="366">
        <f t="shared" si="3"/>
        <v>30560.874999999996</v>
      </c>
      <c r="M22" s="366">
        <f t="shared" si="3"/>
        <v>31509.55185</v>
      </c>
      <c r="N22" s="366">
        <f t="shared" si="3"/>
        <v>32139.742886999997</v>
      </c>
      <c r="O22" s="366">
        <f t="shared" si="3"/>
        <v>32782.537744739995</v>
      </c>
      <c r="P22" s="366">
        <f t="shared" si="3"/>
        <v>33438.188499634802</v>
      </c>
      <c r="Q22" s="13"/>
      <c r="R22" s="50"/>
    </row>
    <row r="23" spans="1:22">
      <c r="A23" s="89"/>
      <c r="H23" s="83"/>
      <c r="I23" s="6"/>
      <c r="J23" s="6"/>
      <c r="K23" s="538"/>
      <c r="L23" s="374"/>
      <c r="M23" s="374"/>
      <c r="N23" s="374"/>
      <c r="O23" s="374"/>
      <c r="P23" s="13"/>
      <c r="Q23" s="13"/>
      <c r="R23" s="50"/>
    </row>
    <row r="24" spans="1:22">
      <c r="A24" s="89"/>
      <c r="B24" t="s">
        <v>173</v>
      </c>
      <c r="I24" s="108">
        <v>0</v>
      </c>
      <c r="J24" s="108">
        <v>0</v>
      </c>
      <c r="K24" s="142">
        <v>0</v>
      </c>
      <c r="L24" s="205">
        <f>debt_interest!L21</f>
        <v>0</v>
      </c>
      <c r="M24" s="205">
        <f>debt_interest!M21</f>
        <v>0</v>
      </c>
      <c r="N24" s="205">
        <f>debt_interest!N21</f>
        <v>0</v>
      </c>
      <c r="O24" s="205">
        <f>debt_interest!O21</f>
        <v>0</v>
      </c>
      <c r="P24" s="205">
        <f>debt_interest!P21</f>
        <v>0</v>
      </c>
      <c r="Q24" s="13"/>
      <c r="R24" s="50"/>
    </row>
    <row r="25" spans="1:22">
      <c r="A25" s="89"/>
      <c r="B25" s="93" t="s">
        <v>276</v>
      </c>
      <c r="F25" s="582"/>
      <c r="G25" s="6"/>
      <c r="I25" s="63">
        <f>'Balance Sheet'!J28</f>
        <v>3975</v>
      </c>
      <c r="J25" s="63">
        <f>'Balance Sheet'!K28</f>
        <v>3975</v>
      </c>
      <c r="K25" s="142">
        <f>'Balance Sheet'!L28</f>
        <v>3975</v>
      </c>
      <c r="L25" s="205">
        <f>debt_interest!L27</f>
        <v>3575</v>
      </c>
      <c r="M25" s="205">
        <f>debt_interest!M27</f>
        <v>3575</v>
      </c>
      <c r="N25" s="205">
        <f>debt_interest!N27</f>
        <v>3300</v>
      </c>
      <c r="O25" s="205">
        <f>debt_interest!O27</f>
        <v>3300</v>
      </c>
      <c r="P25" s="205">
        <f>debt_interest!P27</f>
        <v>3300</v>
      </c>
      <c r="Q25" s="13"/>
      <c r="R25" s="50"/>
    </row>
    <row r="26" spans="1:22">
      <c r="A26" s="89"/>
      <c r="B26" s="93" t="s">
        <v>1060</v>
      </c>
      <c r="I26" s="108">
        <v>0</v>
      </c>
      <c r="J26" s="108">
        <v>0</v>
      </c>
      <c r="K26" s="142">
        <v>148</v>
      </c>
      <c r="L26" s="645">
        <v>66</v>
      </c>
      <c r="M26" s="645">
        <v>66</v>
      </c>
      <c r="N26" s="645">
        <v>66</v>
      </c>
      <c r="O26" s="645">
        <v>66</v>
      </c>
      <c r="P26" s="645">
        <v>66</v>
      </c>
      <c r="Q26" s="643"/>
      <c r="R26" s="50"/>
    </row>
    <row r="27" spans="1:22">
      <c r="A27" s="89" t="s">
        <v>118</v>
      </c>
      <c r="C27" t="s">
        <v>214</v>
      </c>
      <c r="I27" s="366">
        <f t="shared" ref="I27:J27" si="4">SUM(I22:I26)</f>
        <v>34997</v>
      </c>
      <c r="J27" s="366">
        <f t="shared" si="4"/>
        <v>34815</v>
      </c>
      <c r="K27" s="528">
        <f>SUM(K22:K26)</f>
        <v>34264</v>
      </c>
      <c r="L27" s="366">
        <f>SUM(L22:L26)</f>
        <v>34201.875</v>
      </c>
      <c r="M27" s="366">
        <f>SUM(M22:M26)</f>
        <v>35150.551850000003</v>
      </c>
      <c r="N27" s="366">
        <f t="shared" ref="N27:P27" si="5">SUM(N22:N26)</f>
        <v>35505.742887</v>
      </c>
      <c r="O27" s="366">
        <f t="shared" si="5"/>
        <v>36148.537744739995</v>
      </c>
      <c r="P27" s="366">
        <f t="shared" si="5"/>
        <v>36804.188499634802</v>
      </c>
      <c r="Q27" s="13"/>
      <c r="R27" s="50"/>
    </row>
    <row r="28" spans="1:22">
      <c r="A28" s="89"/>
      <c r="I28" s="23"/>
      <c r="J28" s="23"/>
      <c r="K28" s="538"/>
      <c r="L28" s="455"/>
      <c r="M28" s="455"/>
      <c r="N28" s="455"/>
      <c r="O28" s="455"/>
      <c r="P28" s="455"/>
      <c r="Q28" s="13"/>
      <c r="R28" s="50"/>
    </row>
    <row r="29" spans="1:22">
      <c r="A29" s="89"/>
      <c r="B29" s="18" t="s">
        <v>266</v>
      </c>
      <c r="I29" s="22">
        <f>'Balance Sheet'!J32</f>
        <v>13432</v>
      </c>
      <c r="J29" s="22">
        <f>'Balance Sheet'!K32</f>
        <v>15634</v>
      </c>
      <c r="K29" s="142">
        <f>'Balance Sheet'!L32</f>
        <v>15979</v>
      </c>
      <c r="L29" s="205">
        <f>equity!L14</f>
        <v>15623.108520216092</v>
      </c>
      <c r="M29" s="205">
        <f>equity!M14</f>
        <v>15925.449195840485</v>
      </c>
      <c r="N29" s="205">
        <f>equity!N14</f>
        <v>17170.682600640488</v>
      </c>
      <c r="O29" s="205">
        <f>equity!O14</f>
        <v>18445.034113536487</v>
      </c>
      <c r="P29" s="205">
        <f>equity!P14</f>
        <v>19749.086096690407</v>
      </c>
      <c r="Q29" s="13"/>
      <c r="R29" s="50"/>
    </row>
    <row r="30" spans="1:22">
      <c r="A30" s="89"/>
      <c r="I30" s="33"/>
      <c r="K30" s="24"/>
      <c r="L30" s="374"/>
      <c r="M30" s="374"/>
      <c r="N30" s="374"/>
      <c r="O30" s="374"/>
      <c r="P30" s="13"/>
      <c r="Q30" s="13"/>
      <c r="R30" s="50"/>
    </row>
    <row r="31" spans="1:22" s="7" customFormat="1">
      <c r="A31" s="485" t="s">
        <v>118</v>
      </c>
      <c r="B31" s="7" t="s">
        <v>215</v>
      </c>
      <c r="I31" s="137">
        <f>I27+I29</f>
        <v>48429</v>
      </c>
      <c r="J31" s="137">
        <f t="shared" ref="J31:P31" si="6">J27+J29</f>
        <v>50449</v>
      </c>
      <c r="K31" s="505">
        <f t="shared" si="6"/>
        <v>50243</v>
      </c>
      <c r="L31" s="499">
        <f>L27+L29</f>
        <v>49824.98352021609</v>
      </c>
      <c r="M31" s="499">
        <f t="shared" si="6"/>
        <v>51076.001045840487</v>
      </c>
      <c r="N31" s="499">
        <f t="shared" si="6"/>
        <v>52676.425487640488</v>
      </c>
      <c r="O31" s="499">
        <f t="shared" si="6"/>
        <v>54593.571858276482</v>
      </c>
      <c r="P31" s="499">
        <f t="shared" si="6"/>
        <v>56553.274596325209</v>
      </c>
      <c r="Q31" s="194"/>
      <c r="R31" s="50"/>
    </row>
    <row r="32" spans="1:22">
      <c r="A32" s="89"/>
      <c r="C32" s="9" t="s">
        <v>249</v>
      </c>
      <c r="I32" s="212">
        <f>I17-I31</f>
        <v>0</v>
      </c>
      <c r="J32" s="212">
        <f t="shared" ref="J32:P32" si="7">J17-J31</f>
        <v>0</v>
      </c>
      <c r="K32" s="539">
        <f t="shared" si="7"/>
        <v>0</v>
      </c>
      <c r="L32" s="646">
        <f>L17-L31</f>
        <v>-5.4794523748569191E-5</v>
      </c>
      <c r="M32" s="646">
        <f t="shared" si="7"/>
        <v>1.1700220056809485E-4</v>
      </c>
      <c r="N32" s="646">
        <f t="shared" si="7"/>
        <v>3.512323455652222E-4</v>
      </c>
      <c r="O32" s="646">
        <f t="shared" si="7"/>
        <v>3.014708636328578E-5</v>
      </c>
      <c r="P32" s="646">
        <f t="shared" si="7"/>
        <v>-2.5735989038366824E-4</v>
      </c>
      <c r="Q32" s="644"/>
      <c r="R32" s="50"/>
    </row>
    <row r="33" spans="1:18" s="13" customFormat="1">
      <c r="A33" s="89"/>
      <c r="I33" s="34"/>
      <c r="L33" s="457"/>
      <c r="M33" s="457"/>
      <c r="N33" s="457"/>
      <c r="O33" s="457"/>
      <c r="P33" s="457"/>
      <c r="R33" s="454"/>
    </row>
    <row r="34" spans="1:18" s="13" customFormat="1">
      <c r="A34" s="89"/>
      <c r="I34" s="34"/>
      <c r="K34" s="540" t="s">
        <v>264</v>
      </c>
      <c r="L34" s="374"/>
      <c r="M34" s="374"/>
      <c r="N34" s="374"/>
      <c r="O34" s="374"/>
      <c r="R34" s="454"/>
    </row>
    <row r="35" spans="1:18">
      <c r="A35" s="89"/>
      <c r="I35" s="33"/>
      <c r="K35" s="1137" t="s">
        <v>304</v>
      </c>
      <c r="L35" s="374"/>
      <c r="M35" s="374"/>
      <c r="N35" s="374"/>
      <c r="O35" s="374"/>
      <c r="P35" s="13"/>
      <c r="Q35" s="13"/>
      <c r="R35" s="50"/>
    </row>
    <row r="36" spans="1:18">
      <c r="A36" s="101" t="s">
        <v>118</v>
      </c>
      <c r="B36" s="101" t="s">
        <v>131</v>
      </c>
      <c r="I36" s="428"/>
      <c r="K36" s="391" t="s">
        <v>305</v>
      </c>
      <c r="L36" s="13"/>
      <c r="M36" s="13"/>
      <c r="N36" s="13"/>
      <c r="O36" s="13"/>
      <c r="P36" s="13"/>
      <c r="Q36" s="13"/>
      <c r="R36" s="50"/>
    </row>
  </sheetData>
  <customSheetViews>
    <customSheetView guid="{5A4827F7-D52D-44AD-B257-2AB13F875B96}" showGridLines="0" fitToPage="1" topLeftCell="A4">
      <selection activeCell="N9" sqref="N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P41"/>
  <sheetViews>
    <sheetView zoomScale="75" workbookViewId="0">
      <selection activeCell="L37" sqref="L37"/>
    </sheetView>
  </sheetViews>
  <sheetFormatPr defaultColWidth="9.1796875" defaultRowHeight="13"/>
  <cols>
    <col min="1" max="1" width="4.5" style="903" customWidth="1"/>
    <col min="2" max="2" width="21" style="903" customWidth="1"/>
    <col min="3" max="12" width="11.6796875" style="903" customWidth="1"/>
    <col min="13" max="13" width="15.6796875" style="903" customWidth="1"/>
    <col min="14" max="14" width="9.5" style="903" customWidth="1"/>
    <col min="15" max="16384" width="9.1796875" style="903"/>
  </cols>
  <sheetData>
    <row r="2" spans="2:16" ht="13.75" thickBot="1"/>
    <row r="3" spans="2:16" ht="39" customHeight="1">
      <c r="B3" s="1265" t="s">
        <v>796</v>
      </c>
      <c r="C3" s="1266"/>
      <c r="D3" s="1266"/>
      <c r="E3" s="1266"/>
      <c r="F3" s="1266"/>
      <c r="G3" s="1266"/>
      <c r="H3" s="1266"/>
      <c r="I3" s="1266"/>
      <c r="J3" s="1266"/>
      <c r="K3" s="1266"/>
      <c r="L3" s="1266"/>
      <c r="M3" s="1267"/>
      <c r="N3" s="953"/>
    </row>
    <row r="4" spans="2:16" ht="26.25" customHeight="1">
      <c r="B4" s="1280" t="s">
        <v>795</v>
      </c>
      <c r="C4" s="1281"/>
      <c r="D4" s="1281"/>
      <c r="E4" s="1281"/>
      <c r="F4" s="1281"/>
      <c r="G4" s="1281"/>
      <c r="H4" s="1281"/>
      <c r="I4" s="1281"/>
      <c r="J4" s="1281"/>
      <c r="K4" s="1281"/>
      <c r="L4" s="1281"/>
      <c r="M4" s="1282"/>
      <c r="N4" s="953"/>
    </row>
    <row r="5" spans="2:16" s="953" customFormat="1" ht="18.75" customHeight="1">
      <c r="B5" s="1283" t="s">
        <v>794</v>
      </c>
      <c r="C5" s="1284"/>
      <c r="D5" s="1284"/>
      <c r="E5" s="1284"/>
      <c r="F5" s="1284"/>
      <c r="G5" s="1284"/>
      <c r="H5" s="1284"/>
      <c r="I5" s="1284"/>
      <c r="J5" s="1284"/>
      <c r="K5" s="1284"/>
      <c r="L5" s="1284"/>
      <c r="M5" s="1285"/>
    </row>
    <row r="6" spans="2:16" ht="15" customHeight="1" thickBot="1">
      <c r="B6" s="913"/>
      <c r="C6" s="910"/>
      <c r="D6" s="910"/>
      <c r="E6" s="910"/>
      <c r="F6" s="910"/>
      <c r="G6" s="910"/>
      <c r="H6" s="910"/>
      <c r="I6" s="910"/>
      <c r="J6" s="910"/>
      <c r="K6" s="910"/>
      <c r="L6" s="910"/>
      <c r="M6" s="909"/>
      <c r="N6" s="953"/>
    </row>
    <row r="7" spans="2:16" ht="16.5" thickBot="1">
      <c r="B7" s="907"/>
      <c r="C7" s="929">
        <v>2001</v>
      </c>
      <c r="D7" s="928">
        <v>2002</v>
      </c>
      <c r="E7" s="928">
        <v>2003</v>
      </c>
      <c r="F7" s="928">
        <v>2004</v>
      </c>
      <c r="G7" s="928">
        <v>2005</v>
      </c>
      <c r="H7" s="928">
        <v>2006</v>
      </c>
      <c r="I7" s="928">
        <v>2007</v>
      </c>
      <c r="J7" s="928">
        <v>2008</v>
      </c>
      <c r="K7" s="928">
        <v>2009</v>
      </c>
      <c r="L7" s="927">
        <v>2010</v>
      </c>
      <c r="M7" s="905"/>
      <c r="N7" s="952"/>
      <c r="O7" s="951" t="s">
        <v>223</v>
      </c>
      <c r="P7" s="950"/>
    </row>
    <row r="8" spans="2:16" ht="15.75">
      <c r="B8" s="944" t="s">
        <v>793</v>
      </c>
      <c r="C8" s="941">
        <f>'Actual BS'!C16</f>
        <v>956.8</v>
      </c>
      <c r="D8" s="941">
        <f>'Actual BS'!D16</f>
        <v>1756.7</v>
      </c>
      <c r="E8" s="941">
        <f>'Actual BS'!E16</f>
        <v>2695.9</v>
      </c>
      <c r="F8" s="941">
        <f>'Actual BS'!F16</f>
        <v>1307.5</v>
      </c>
      <c r="G8" s="941">
        <f>'Actual BS'!G16</f>
        <v>1898.5</v>
      </c>
      <c r="H8" s="941">
        <f>'Actual BS'!H16</f>
        <v>2254</v>
      </c>
      <c r="I8" s="941">
        <f>'Actual BS'!I16</f>
        <v>1839</v>
      </c>
      <c r="J8" s="941">
        <f>'Actual BS'!J16</f>
        <v>2478</v>
      </c>
      <c r="K8" s="941">
        <f>'Actual BS'!K16</f>
        <v>1918</v>
      </c>
      <c r="L8" s="941">
        <f>'Actual BS'!L16</f>
        <v>2046</v>
      </c>
      <c r="M8" s="940" t="str">
        <f>B8</f>
        <v>S/T Investments</v>
      </c>
      <c r="O8" s="949" t="s">
        <v>697</v>
      </c>
      <c r="P8" s="948">
        <v>44974.554464587338</v>
      </c>
    </row>
    <row r="9" spans="2:16" ht="15.75">
      <c r="B9" s="944" t="s">
        <v>196</v>
      </c>
      <c r="C9" s="941">
        <f>'Actual BS'!C45</f>
        <v>25.8</v>
      </c>
      <c r="D9" s="941">
        <f>'Actual BS'!D45</f>
        <v>41.9</v>
      </c>
      <c r="E9" s="941">
        <f>'Actual BS'!E45</f>
        <v>52.2</v>
      </c>
      <c r="F9" s="941">
        <f>'Actual BS'!F45</f>
        <v>41.7</v>
      </c>
      <c r="G9" s="941">
        <f>'Actual BS'!G45</f>
        <v>35.6</v>
      </c>
      <c r="H9" s="941">
        <f>'Actual BS'!H45</f>
        <v>38</v>
      </c>
      <c r="I9" s="941">
        <f>'Actual BS'!I45</f>
        <v>49</v>
      </c>
      <c r="J9" s="941">
        <f>'Actual BS'!J45</f>
        <v>56</v>
      </c>
      <c r="K9" s="941">
        <f>'Actual BS'!K45</f>
        <v>51</v>
      </c>
      <c r="L9" s="941">
        <f>'Actual BS'!L45</f>
        <v>77</v>
      </c>
      <c r="M9" s="940" t="str">
        <f>B9</f>
        <v>Cash</v>
      </c>
      <c r="O9" s="926" t="s">
        <v>694</v>
      </c>
      <c r="P9" s="908">
        <v>2054.4299999999998</v>
      </c>
    </row>
    <row r="10" spans="2:16" ht="15.75">
      <c r="B10" s="944" t="s">
        <v>458</v>
      </c>
      <c r="C10" s="941">
        <f>'Actual BS'!C47</f>
        <v>1692.8</v>
      </c>
      <c r="D10" s="941">
        <f>'Actual BS'!D47</f>
        <v>2040.6</v>
      </c>
      <c r="E10" s="941">
        <f>'Actual BS'!E47</f>
        <v>2188</v>
      </c>
      <c r="F10" s="941">
        <f>'Actual BS'!F47</f>
        <v>2336.4</v>
      </c>
      <c r="G10" s="941">
        <f>'Actual BS'!G47</f>
        <v>2319.1999999999998</v>
      </c>
      <c r="H10" s="941">
        <f>'Actual BS'!H47</f>
        <v>2314</v>
      </c>
      <c r="I10" s="941">
        <f>'Actual BS'!I47</f>
        <v>2227</v>
      </c>
      <c r="J10" s="941">
        <f>'Actual BS'!J47</f>
        <v>2201</v>
      </c>
      <c r="K10" s="941">
        <f>'Actual BS'!K47</f>
        <v>2101</v>
      </c>
      <c r="L10" s="941">
        <f>'Actual BS'!L47</f>
        <v>1974</v>
      </c>
      <c r="M10" s="940" t="str">
        <f>B10</f>
        <v>Premiums Receivable</v>
      </c>
      <c r="O10" s="926" t="s">
        <v>692</v>
      </c>
      <c r="P10" s="908">
        <v>1311</v>
      </c>
    </row>
    <row r="11" spans="2:16" ht="15.75">
      <c r="B11" s="944" t="s">
        <v>454</v>
      </c>
      <c r="C11" s="941">
        <f>'Actual BS'!C53</f>
        <v>1331.5</v>
      </c>
      <c r="D11" s="941">
        <f>'Actual BS'!D53</f>
        <v>1767.5</v>
      </c>
      <c r="E11" s="941">
        <f>'Actual BS'!E53</f>
        <v>1405.9</v>
      </c>
      <c r="F11" s="941">
        <f>'Actual BS'!F53</f>
        <v>3306.6000000000004</v>
      </c>
      <c r="G11" s="941">
        <f>'Actual BS'!G53</f>
        <v>1429.2</v>
      </c>
      <c r="H11" s="941">
        <f>'Actual BS'!H53</f>
        <v>1514</v>
      </c>
      <c r="I11" s="941">
        <f>'Actual BS'!I53</f>
        <v>1366</v>
      </c>
      <c r="J11" s="941">
        <f>'Actual BS'!J53</f>
        <v>1271</v>
      </c>
      <c r="K11" s="941">
        <f>'Actual BS'!K53</f>
        <v>1200</v>
      </c>
      <c r="L11" s="941">
        <f>'Actual BS'!L53</f>
        <v>1282</v>
      </c>
      <c r="M11" s="940" t="str">
        <f>B11</f>
        <v>Other Assets</v>
      </c>
      <c r="O11" s="926" t="s">
        <v>691</v>
      </c>
      <c r="P11" s="908">
        <v>68.481000000000009</v>
      </c>
    </row>
    <row r="12" spans="2:16" ht="15.75">
      <c r="B12" s="942" t="s">
        <v>792</v>
      </c>
      <c r="C12" s="943">
        <f t="shared" ref="C12:L12" si="0">SUM(C8:C11)</f>
        <v>4006.8999999999996</v>
      </c>
      <c r="D12" s="943">
        <f t="shared" si="0"/>
        <v>5606.7</v>
      </c>
      <c r="E12" s="943">
        <f t="shared" si="0"/>
        <v>6342</v>
      </c>
      <c r="F12" s="943">
        <f t="shared" si="0"/>
        <v>6992.2000000000007</v>
      </c>
      <c r="G12" s="943">
        <f t="shared" si="0"/>
        <v>5682.4999999999991</v>
      </c>
      <c r="H12" s="943">
        <f t="shared" si="0"/>
        <v>6120</v>
      </c>
      <c r="I12" s="943">
        <f t="shared" si="0"/>
        <v>5481</v>
      </c>
      <c r="J12" s="943">
        <f t="shared" si="0"/>
        <v>6006</v>
      </c>
      <c r="K12" s="943">
        <f t="shared" si="0"/>
        <v>5270</v>
      </c>
      <c r="L12" s="943">
        <f t="shared" si="0"/>
        <v>5379</v>
      </c>
      <c r="M12" s="942" t="str">
        <f>B12</f>
        <v>Total C.A.</v>
      </c>
      <c r="O12" s="926" t="s">
        <v>124</v>
      </c>
      <c r="P12" s="908"/>
    </row>
    <row r="13" spans="2:16" ht="15.75">
      <c r="B13" s="940"/>
      <c r="C13" s="941"/>
      <c r="D13" s="941"/>
      <c r="E13" s="941"/>
      <c r="F13" s="941"/>
      <c r="G13" s="941"/>
      <c r="H13" s="941"/>
      <c r="I13" s="941"/>
      <c r="J13" s="941"/>
      <c r="K13" s="941"/>
      <c r="L13" s="941"/>
      <c r="M13" s="940"/>
      <c r="O13" s="939" t="s">
        <v>689</v>
      </c>
      <c r="P13" s="938">
        <v>48408.465464587338</v>
      </c>
    </row>
    <row r="14" spans="2:16" ht="15.75">
      <c r="B14" s="944" t="s">
        <v>486</v>
      </c>
      <c r="C14" s="941">
        <f>'Actual BS'!C40-C8</f>
        <v>16827.100000000002</v>
      </c>
      <c r="D14" s="941">
        <f>'Actual BS'!D40-D8</f>
        <v>19255.7</v>
      </c>
      <c r="E14" s="941">
        <f>'Actual BS'!E40-E8</f>
        <v>23926.1</v>
      </c>
      <c r="F14" s="941">
        <f>'Actual BS'!F40-F8</f>
        <v>29850.6</v>
      </c>
      <c r="G14" s="941">
        <f>'Actual BS'!G40-G8</f>
        <v>32734.9</v>
      </c>
      <c r="H14" s="941">
        <f>'Actual BS'!H40-H8</f>
        <v>35439</v>
      </c>
      <c r="I14" s="941">
        <f>'Actual BS'!I40-I8</f>
        <v>38242</v>
      </c>
      <c r="J14" s="941">
        <f>'Actual BS'!J40-J8</f>
        <v>36260</v>
      </c>
      <c r="K14" s="941">
        <f>'Actual BS'!K40-K8</f>
        <v>40086</v>
      </c>
      <c r="L14" s="941">
        <f>'Actual BS'!L40-L8</f>
        <v>40167</v>
      </c>
      <c r="M14" s="940" t="str">
        <f>B14</f>
        <v>Investments</v>
      </c>
      <c r="O14" s="926" t="s">
        <v>451</v>
      </c>
      <c r="P14" s="908">
        <v>22755</v>
      </c>
    </row>
    <row r="15" spans="2:16" ht="15.75">
      <c r="B15" s="944" t="s">
        <v>791</v>
      </c>
      <c r="C15" s="941">
        <f>'Actual BS'!C48</f>
        <v>4505.2</v>
      </c>
      <c r="D15" s="941">
        <f>'Actual BS'!D48</f>
        <v>4071.5</v>
      </c>
      <c r="E15" s="941">
        <f>'Actual BS'!E48</f>
        <v>3426.6</v>
      </c>
      <c r="F15" s="941">
        <f>'Actual BS'!F48</f>
        <v>3483.2</v>
      </c>
      <c r="G15" s="941">
        <f>'Actual BS'!G48</f>
        <v>3769.2</v>
      </c>
      <c r="H15" s="941">
        <f>'Actual BS'!H48</f>
        <v>2594</v>
      </c>
      <c r="I15" s="941">
        <f>'Actual BS'!I48</f>
        <v>2307</v>
      </c>
      <c r="J15" s="941">
        <f>'Actual BS'!J48</f>
        <v>2212</v>
      </c>
      <c r="K15" s="941">
        <f>'Actual BS'!K48</f>
        <v>2053</v>
      </c>
      <c r="L15" s="941">
        <f>'Actual BS'!L48</f>
        <v>1896</v>
      </c>
      <c r="M15" s="940" t="str">
        <f>B15</f>
        <v>Reinsurance Recoverable*</v>
      </c>
      <c r="N15" s="947"/>
      <c r="O15" s="926" t="s">
        <v>686</v>
      </c>
      <c r="P15" s="908">
        <v>6505.6949999999997</v>
      </c>
    </row>
    <row r="16" spans="2:16" ht="15.75">
      <c r="B16" s="944" t="s">
        <v>790</v>
      </c>
      <c r="C16" s="941">
        <f>SUM('Actual BS'!C41:C44,'Actual BS'!C46)</f>
        <v>1698.0000000000002</v>
      </c>
      <c r="D16" s="941">
        <f>SUM('Actual BS'!D41:D44,'Actual BS'!D46)</f>
        <v>2419.8000000000002</v>
      </c>
      <c r="E16" s="941">
        <f>SUM('Actual BS'!E41:E44,'Actual BS'!E46)</f>
        <v>1822.6999999999998</v>
      </c>
      <c r="F16" s="941">
        <f>SUM('Actual BS'!F41:F44,'Actual BS'!F46)</f>
        <v>1170.4000000000001</v>
      </c>
      <c r="G16" s="941">
        <f>SUM('Actual BS'!G41:G44,'Actual BS'!G46)</f>
        <v>3095.2000000000003</v>
      </c>
      <c r="H16" s="941">
        <f>SUM('Actual BS'!H41:H44,'Actual BS'!H46)</f>
        <v>3232</v>
      </c>
      <c r="I16" s="941">
        <f>SUM('Actual BS'!I41:I44,'Actual BS'!I46)</f>
        <v>1687</v>
      </c>
      <c r="J16" s="941">
        <f>SUM('Actual BS'!J41:J44,'Actual BS'!J46)</f>
        <v>435</v>
      </c>
      <c r="K16" s="941">
        <f>SUM('Actual BS'!K41:K44,'Actual BS'!K46)</f>
        <v>460</v>
      </c>
      <c r="L16" s="941">
        <f>SUM('Actual BS'!L41:L44,'Actual BS'!L46)</f>
        <v>452</v>
      </c>
      <c r="M16" s="940" t="str">
        <f>B16</f>
        <v>Investment Associated F.A.</v>
      </c>
      <c r="O16" s="926" t="s">
        <v>684</v>
      </c>
      <c r="P16" s="908">
        <v>1369.6200000000001</v>
      </c>
    </row>
    <row r="17" spans="2:16" ht="15.75">
      <c r="B17" s="944" t="s">
        <v>789</v>
      </c>
      <c r="C17" s="941">
        <f>SUM('Actual BS'!C49:C52)</f>
        <v>2411.7999999999997</v>
      </c>
      <c r="D17" s="941">
        <f>SUM('Actual BS'!D49:D52)</f>
        <v>2727.2000000000003</v>
      </c>
      <c r="E17" s="941">
        <f>SUM('Actual BS'!E49:E52)</f>
        <v>2843.2000000000003</v>
      </c>
      <c r="F17" s="941">
        <f>SUM('Actual BS'!F49:F52)</f>
        <v>2763.9</v>
      </c>
      <c r="G17" s="941">
        <f>SUM('Actual BS'!G49:G52)</f>
        <v>2778.9</v>
      </c>
      <c r="H17" s="941">
        <f>SUM('Actual BS'!H49:H52)</f>
        <v>2892</v>
      </c>
      <c r="I17" s="941">
        <f>SUM('Actual BS'!I49:I52)</f>
        <v>2857</v>
      </c>
      <c r="J17" s="941">
        <f>SUM('Actual BS'!J49:J52)</f>
        <v>3516</v>
      </c>
      <c r="K17" s="941">
        <f>SUM('Actual BS'!K49:K52)</f>
        <v>2580</v>
      </c>
      <c r="L17" s="941">
        <f>SUM('Actual BS'!L49:L52)</f>
        <v>2349</v>
      </c>
      <c r="M17" s="940" t="str">
        <f>B17</f>
        <v>Other F.A.</v>
      </c>
      <c r="O17" s="939" t="s">
        <v>682</v>
      </c>
      <c r="P17" s="938">
        <v>30630.314999999999</v>
      </c>
    </row>
    <row r="18" spans="2:16" ht="15.75">
      <c r="B18" s="942" t="s">
        <v>788</v>
      </c>
      <c r="C18" s="943">
        <f t="shared" ref="C18:L18" si="1">SUM(C14:C17)</f>
        <v>25442.100000000002</v>
      </c>
      <c r="D18" s="943">
        <f t="shared" si="1"/>
        <v>28474.2</v>
      </c>
      <c r="E18" s="943">
        <f t="shared" si="1"/>
        <v>32018.6</v>
      </c>
      <c r="F18" s="943">
        <f t="shared" si="1"/>
        <v>37268.1</v>
      </c>
      <c r="G18" s="943">
        <f t="shared" si="1"/>
        <v>42378.2</v>
      </c>
      <c r="H18" s="943">
        <f t="shared" si="1"/>
        <v>44157</v>
      </c>
      <c r="I18" s="943">
        <f t="shared" si="1"/>
        <v>45093</v>
      </c>
      <c r="J18" s="943">
        <f t="shared" si="1"/>
        <v>42423</v>
      </c>
      <c r="K18" s="943">
        <f t="shared" si="1"/>
        <v>45179</v>
      </c>
      <c r="L18" s="943">
        <f t="shared" si="1"/>
        <v>44864</v>
      </c>
      <c r="M18" s="942" t="str">
        <f>B18</f>
        <v>Total F.A.</v>
      </c>
      <c r="O18" s="926"/>
      <c r="P18" s="908"/>
    </row>
    <row r="19" spans="2:16" ht="15.75">
      <c r="B19" s="940"/>
      <c r="C19" s="941"/>
      <c r="D19" s="941"/>
      <c r="E19" s="941"/>
      <c r="F19" s="941"/>
      <c r="G19" s="941"/>
      <c r="H19" s="941"/>
      <c r="I19" s="941"/>
      <c r="J19" s="941"/>
      <c r="K19" s="941"/>
      <c r="L19" s="941"/>
      <c r="M19" s="940"/>
      <c r="O19" s="939" t="s">
        <v>680</v>
      </c>
      <c r="P19" s="938">
        <v>17778.150464587339</v>
      </c>
    </row>
    <row r="20" spans="2:16" ht="16.5" thickBot="1">
      <c r="B20" s="945" t="s">
        <v>673</v>
      </c>
      <c r="C20" s="946">
        <f t="shared" ref="C20:L20" si="2">C12+C18</f>
        <v>29449</v>
      </c>
      <c r="D20" s="946">
        <f t="shared" si="2"/>
        <v>34080.9</v>
      </c>
      <c r="E20" s="946">
        <f t="shared" si="2"/>
        <v>38360.6</v>
      </c>
      <c r="F20" s="946">
        <f t="shared" si="2"/>
        <v>44260.3</v>
      </c>
      <c r="G20" s="946">
        <f t="shared" si="2"/>
        <v>48060.7</v>
      </c>
      <c r="H20" s="946">
        <f t="shared" si="2"/>
        <v>50277</v>
      </c>
      <c r="I20" s="946">
        <f t="shared" si="2"/>
        <v>50574</v>
      </c>
      <c r="J20" s="946">
        <f t="shared" si="2"/>
        <v>48429</v>
      </c>
      <c r="K20" s="946">
        <f t="shared" si="2"/>
        <v>50449</v>
      </c>
      <c r="L20" s="946">
        <f t="shared" si="2"/>
        <v>50243</v>
      </c>
      <c r="M20" s="945" t="str">
        <f>B20</f>
        <v>Total Assets</v>
      </c>
      <c r="O20" s="926"/>
      <c r="P20" s="908"/>
    </row>
    <row r="21" spans="2:16" ht="16.5" thickTop="1">
      <c r="B21" s="940"/>
      <c r="C21" s="941"/>
      <c r="D21" s="941"/>
      <c r="E21" s="941"/>
      <c r="F21" s="941"/>
      <c r="G21" s="941"/>
      <c r="H21" s="941"/>
      <c r="I21" s="941"/>
      <c r="J21" s="941"/>
      <c r="K21" s="941"/>
      <c r="L21" s="941"/>
      <c r="M21" s="940"/>
      <c r="O21" s="926" t="s">
        <v>678</v>
      </c>
      <c r="P21" s="908">
        <v>1712.0250000000001</v>
      </c>
    </row>
    <row r="22" spans="2:16" ht="15.75">
      <c r="B22" s="944" t="s">
        <v>451</v>
      </c>
      <c r="C22" s="941">
        <f>'Actual BS'!C59</f>
        <v>15514.9</v>
      </c>
      <c r="D22" s="941">
        <f>'Actual BS'!D59</f>
        <v>16713.099999999999</v>
      </c>
      <c r="E22" s="941">
        <f>'Actual BS'!E59</f>
        <v>17947.8</v>
      </c>
      <c r="F22" s="941">
        <f>'Actual BS'!F59</f>
        <v>20291.900000000001</v>
      </c>
      <c r="G22" s="941">
        <f>'Actual BS'!G59</f>
        <v>22481.7</v>
      </c>
      <c r="H22" s="941">
        <f>'Actual BS'!H59</f>
        <v>22293</v>
      </c>
      <c r="I22" s="941">
        <f>'Actual BS'!I59</f>
        <v>22623</v>
      </c>
      <c r="J22" s="941">
        <f>'Actual BS'!J59</f>
        <v>22367</v>
      </c>
      <c r="K22" s="941">
        <f>'Actual BS'!K59</f>
        <v>22839</v>
      </c>
      <c r="L22" s="941">
        <f>'Actual BS'!L59</f>
        <v>22755</v>
      </c>
      <c r="M22" s="940" t="str">
        <f>B22</f>
        <v>Unpaid Losses and Loss Expenses</v>
      </c>
      <c r="O22" s="926" t="s">
        <v>677</v>
      </c>
      <c r="P22" s="908">
        <v>2941.05</v>
      </c>
    </row>
    <row r="23" spans="2:16" ht="15.75">
      <c r="B23" s="944" t="s">
        <v>450</v>
      </c>
      <c r="C23" s="941">
        <f>'Actual BS'!C60</f>
        <v>3916.2</v>
      </c>
      <c r="D23" s="941">
        <f>'Actual BS'!D60</f>
        <v>5049.8999999999996</v>
      </c>
      <c r="E23" s="941">
        <f>'Actual BS'!E60</f>
        <v>5939.4</v>
      </c>
      <c r="F23" s="941">
        <f>'Actual BS'!F60</f>
        <v>6355.9</v>
      </c>
      <c r="G23" s="941">
        <f>'Actual BS'!G60</f>
        <v>6360.7</v>
      </c>
      <c r="H23" s="941">
        <f>'Actual BS'!H60</f>
        <v>6546</v>
      </c>
      <c r="I23" s="941">
        <f>'Actual BS'!I60</f>
        <v>6599</v>
      </c>
      <c r="J23" s="941">
        <f>'Actual BS'!J60</f>
        <v>6367</v>
      </c>
      <c r="K23" s="941">
        <f>'Actual BS'!K60</f>
        <v>6153</v>
      </c>
      <c r="L23" s="941">
        <f>'Actual BS'!L60</f>
        <v>6133</v>
      </c>
      <c r="M23" s="940" t="str">
        <f>B23</f>
        <v>Unearned Premiums</v>
      </c>
      <c r="O23" s="939" t="s">
        <v>675</v>
      </c>
      <c r="P23" s="938">
        <v>4653.0750000000007</v>
      </c>
    </row>
    <row r="24" spans="2:16" ht="15.75">
      <c r="B24" s="944" t="s">
        <v>787</v>
      </c>
      <c r="C24" s="941">
        <f>SUM('Actual BS'!C64:C65)</f>
        <v>475.3</v>
      </c>
      <c r="D24" s="941">
        <f>SUM('Actual BS'!D64:D65)</f>
        <v>1414.7</v>
      </c>
      <c r="E24" s="941">
        <f>SUM('Actual BS'!E64:E65)</f>
        <v>772.5</v>
      </c>
      <c r="F24" s="941">
        <f>SUM('Actual BS'!F64:F65)</f>
        <v>1928.9</v>
      </c>
      <c r="G24" s="941">
        <f>SUM('Actual BS'!G64:G65)</f>
        <v>2167</v>
      </c>
      <c r="H24" s="941">
        <f>SUM('Actual BS'!H64:H65)</f>
        <v>2724</v>
      </c>
      <c r="I24" s="941">
        <f>SUM('Actual BS'!I64:I65)</f>
        <v>1357</v>
      </c>
      <c r="J24" s="941">
        <f>SUM('Actual BS'!J64:J65)</f>
        <v>118</v>
      </c>
      <c r="K24" s="941">
        <f>SUM('Actual BS'!K64:K65)</f>
        <v>118</v>
      </c>
      <c r="L24" s="941">
        <f>SUM('Actual BS'!L64:L65)</f>
        <v>115</v>
      </c>
      <c r="M24" s="940" t="str">
        <f>B24</f>
        <v>Accts Pay</v>
      </c>
      <c r="O24" s="926"/>
      <c r="P24" s="908"/>
    </row>
    <row r="25" spans="2:16" ht="16.5" thickBot="1">
      <c r="B25" s="944" t="s">
        <v>786</v>
      </c>
      <c r="C25" s="941">
        <f>SUM('Actual BS'!C62,'Actual BS'!C66)</f>
        <v>1666.3</v>
      </c>
      <c r="D25" s="941">
        <f>SUM('Actual BS'!D62,'Actual BS'!D66)</f>
        <v>2118.4</v>
      </c>
      <c r="E25" s="941">
        <f>SUM('Actual BS'!E62,'Actual BS'!E66)</f>
        <v>2365</v>
      </c>
      <c r="F25" s="941">
        <f>SUM('Actual BS'!F62,'Actual BS'!F66)</f>
        <v>2743.5</v>
      </c>
      <c r="G25" s="941">
        <f>SUM('Actual BS'!G62,'Actual BS'!G66)</f>
        <v>2177</v>
      </c>
      <c r="H25" s="941">
        <f>SUM('Actual BS'!H62,'Actual BS'!H66)</f>
        <v>2385</v>
      </c>
      <c r="I25" s="941">
        <f>SUM('Actual BS'!I62,'Actual BS'!I66)</f>
        <v>2090</v>
      </c>
      <c r="J25" s="941">
        <f>SUM('Actual BS'!J62,'Actual BS'!J66)</f>
        <v>2170</v>
      </c>
      <c r="K25" s="941">
        <f>SUM('Actual BS'!K62,'Actual BS'!K66)</f>
        <v>1730</v>
      </c>
      <c r="L25" s="941">
        <f>SUM('Actual BS'!L62,'Actual BS'!L66)</f>
        <v>1138</v>
      </c>
      <c r="M25" s="940" t="str">
        <f>B25</f>
        <v>Other C.L.</v>
      </c>
      <c r="O25" s="921" t="s">
        <v>673</v>
      </c>
      <c r="P25" s="920">
        <v>22431.22546458734</v>
      </c>
    </row>
    <row r="26" spans="2:16" ht="16.5" thickTop="1">
      <c r="B26" s="942" t="s">
        <v>785</v>
      </c>
      <c r="C26" s="943">
        <f t="shared" ref="C26:L26" si="3">SUM(C22:C25)</f>
        <v>21572.699999999997</v>
      </c>
      <c r="D26" s="943">
        <f t="shared" si="3"/>
        <v>25296.100000000002</v>
      </c>
      <c r="E26" s="943">
        <f t="shared" si="3"/>
        <v>27024.699999999997</v>
      </c>
      <c r="F26" s="943">
        <f t="shared" si="3"/>
        <v>31320.200000000004</v>
      </c>
      <c r="G26" s="943">
        <f t="shared" si="3"/>
        <v>33186.400000000001</v>
      </c>
      <c r="H26" s="943">
        <f t="shared" si="3"/>
        <v>33948</v>
      </c>
      <c r="I26" s="943">
        <f t="shared" si="3"/>
        <v>32669</v>
      </c>
      <c r="J26" s="943">
        <f t="shared" si="3"/>
        <v>31022</v>
      </c>
      <c r="K26" s="943">
        <f t="shared" si="3"/>
        <v>30840</v>
      </c>
      <c r="L26" s="943">
        <f t="shared" si="3"/>
        <v>30141</v>
      </c>
      <c r="M26" s="942" t="str">
        <f>B26</f>
        <v>Total C.L.</v>
      </c>
      <c r="O26" s="926"/>
      <c r="P26" s="908"/>
    </row>
    <row r="27" spans="2:16" ht="15.75">
      <c r="B27" s="940"/>
      <c r="C27" s="941"/>
      <c r="D27" s="941"/>
      <c r="E27" s="941"/>
      <c r="F27" s="941"/>
      <c r="G27" s="941"/>
      <c r="H27" s="941"/>
      <c r="I27" s="941"/>
      <c r="J27" s="941"/>
      <c r="K27" s="941"/>
      <c r="L27" s="941"/>
      <c r="M27" s="940"/>
      <c r="O27" s="926" t="s">
        <v>670</v>
      </c>
      <c r="P27" s="908">
        <v>0</v>
      </c>
    </row>
    <row r="28" spans="2:16" ht="15.75">
      <c r="B28" s="944" t="s">
        <v>784</v>
      </c>
      <c r="C28" s="941">
        <f>'Actual BS'!C63</f>
        <v>1351</v>
      </c>
      <c r="D28" s="941">
        <f>'Actual BS'!D63</f>
        <v>1959.1</v>
      </c>
      <c r="E28" s="941">
        <f>'Actual BS'!E63</f>
        <v>2813.9</v>
      </c>
      <c r="F28" s="941">
        <f>'Actual BS'!F63</f>
        <v>2813.7</v>
      </c>
      <c r="G28" s="941">
        <f>'Actual BS'!G63</f>
        <v>2467.3000000000002</v>
      </c>
      <c r="H28" s="941">
        <f>'Actual BS'!H63</f>
        <v>2466</v>
      </c>
      <c r="I28" s="941">
        <f>'Actual BS'!I63</f>
        <v>3460</v>
      </c>
      <c r="J28" s="941">
        <f>'Actual BS'!J63</f>
        <v>3975</v>
      </c>
      <c r="K28" s="941">
        <f>'Actual BS'!K63</f>
        <v>3975</v>
      </c>
      <c r="L28" s="941">
        <f>'Actual BS'!L63</f>
        <v>3975</v>
      </c>
      <c r="M28" s="940" t="str">
        <f>B28</f>
        <v>L.T. Debt</v>
      </c>
      <c r="O28" s="926"/>
      <c r="P28" s="908"/>
    </row>
    <row r="29" spans="2:16" ht="15.75">
      <c r="B29" s="944" t="s">
        <v>783</v>
      </c>
      <c r="C29" s="941">
        <f>'Actual BS'!C61</f>
        <v>0</v>
      </c>
      <c r="D29" s="941">
        <f>'Actual BS'!D61</f>
        <v>0</v>
      </c>
      <c r="E29" s="941">
        <f>'Actual BS'!E61</f>
        <v>0</v>
      </c>
      <c r="F29" s="941">
        <f>'Actual BS'!F61</f>
        <v>0</v>
      </c>
      <c r="G29" s="941">
        <f>'Actual BS'!G61</f>
        <v>0</v>
      </c>
      <c r="H29" s="941">
        <f>'Actual BS'!H61</f>
        <v>0</v>
      </c>
      <c r="I29" s="941">
        <f>'Actual BS'!I61</f>
        <v>0</v>
      </c>
      <c r="J29" s="941">
        <f>'Actual BS'!J61</f>
        <v>0</v>
      </c>
      <c r="K29" s="941">
        <f>'Actual BS'!K61</f>
        <v>0</v>
      </c>
      <c r="L29" s="941">
        <f>'Actual BS'!L61</f>
        <v>148</v>
      </c>
      <c r="M29" s="940" t="str">
        <f>B29</f>
        <v>Deferred Inc Tax</v>
      </c>
      <c r="O29" s="926" t="s">
        <v>667</v>
      </c>
      <c r="P29" s="908">
        <v>3975</v>
      </c>
    </row>
    <row r="30" spans="2:16" ht="15.75">
      <c r="B30" s="942" t="s">
        <v>782</v>
      </c>
      <c r="C30" s="943">
        <f t="shared" ref="C30:L30" si="4">C28+C29</f>
        <v>1351</v>
      </c>
      <c r="D30" s="943">
        <f t="shared" si="4"/>
        <v>1959.1</v>
      </c>
      <c r="E30" s="943">
        <f t="shared" si="4"/>
        <v>2813.9</v>
      </c>
      <c r="F30" s="943">
        <f t="shared" si="4"/>
        <v>2813.7</v>
      </c>
      <c r="G30" s="943">
        <f t="shared" si="4"/>
        <v>2467.3000000000002</v>
      </c>
      <c r="H30" s="943">
        <f t="shared" si="4"/>
        <v>2466</v>
      </c>
      <c r="I30" s="943">
        <f t="shared" si="4"/>
        <v>3460</v>
      </c>
      <c r="J30" s="943">
        <f t="shared" si="4"/>
        <v>3975</v>
      </c>
      <c r="K30" s="943">
        <f t="shared" si="4"/>
        <v>3975</v>
      </c>
      <c r="L30" s="943">
        <f t="shared" si="4"/>
        <v>4123</v>
      </c>
      <c r="M30" s="942" t="str">
        <f>B30</f>
        <v>Total L.T.</v>
      </c>
      <c r="O30" s="926" t="s">
        <v>665</v>
      </c>
      <c r="P30" s="908">
        <v>684.81000000000006</v>
      </c>
    </row>
    <row r="31" spans="2:16" ht="15.75">
      <c r="B31" s="940"/>
      <c r="C31" s="941"/>
      <c r="D31" s="941"/>
      <c r="E31" s="941"/>
      <c r="F31" s="941"/>
      <c r="G31" s="941" t="s">
        <v>297</v>
      </c>
      <c r="H31" s="941"/>
      <c r="I31" s="941"/>
      <c r="J31" s="941"/>
      <c r="K31" s="941"/>
      <c r="L31" s="941"/>
      <c r="M31" s="940"/>
      <c r="O31" s="939" t="s">
        <v>663</v>
      </c>
      <c r="P31" s="938">
        <v>4659.8100000000004</v>
      </c>
    </row>
    <row r="32" spans="2:16" ht="15.75">
      <c r="B32" s="940" t="s">
        <v>781</v>
      </c>
      <c r="C32" s="941">
        <f>'Actual BS'!C79</f>
        <v>6525.3</v>
      </c>
      <c r="D32" s="941">
        <f>'Actual BS'!D79</f>
        <v>6825.7</v>
      </c>
      <c r="E32" s="941">
        <f>'Actual BS'!E79</f>
        <v>8522</v>
      </c>
      <c r="F32" s="941">
        <f>'Actual BS'!F79</f>
        <v>10126.4</v>
      </c>
      <c r="G32" s="941">
        <f>'Actual BS'!G79</f>
        <v>12407</v>
      </c>
      <c r="H32" s="941">
        <f>'Actual BS'!H79</f>
        <v>13863</v>
      </c>
      <c r="I32" s="941">
        <f>'Actual BS'!I79</f>
        <v>14445</v>
      </c>
      <c r="J32" s="941">
        <f>'Actual BS'!J79</f>
        <v>13432</v>
      </c>
      <c r="K32" s="941">
        <f>'Actual BS'!K79</f>
        <v>15634</v>
      </c>
      <c r="L32" s="941">
        <f>'Actual BS'!L79</f>
        <v>15979</v>
      </c>
      <c r="M32" s="940" t="str">
        <f>B32</f>
        <v>Stk Equity</v>
      </c>
      <c r="O32" s="926"/>
      <c r="P32" s="908"/>
    </row>
    <row r="33" spans="2:16" ht="15.75">
      <c r="B33" s="940"/>
      <c r="C33" s="941"/>
      <c r="D33" s="941"/>
      <c r="E33" s="941"/>
      <c r="F33" s="941"/>
      <c r="G33" s="941"/>
      <c r="H33" s="941"/>
      <c r="I33" s="941"/>
      <c r="J33" s="941"/>
      <c r="K33" s="941"/>
      <c r="L33" s="941"/>
      <c r="M33" s="940"/>
      <c r="O33" s="939" t="s">
        <v>661</v>
      </c>
      <c r="P33" s="938">
        <v>4659.8100000000004</v>
      </c>
    </row>
    <row r="34" spans="2:16" ht="16.5" thickBot="1">
      <c r="B34" s="936" t="s">
        <v>780</v>
      </c>
      <c r="C34" s="937">
        <f>C26+C30+C32</f>
        <v>29448.999999999996</v>
      </c>
      <c r="D34" s="937">
        <f>D26+D30+D32</f>
        <v>34080.9</v>
      </c>
      <c r="E34" s="937">
        <f>E26+E30+E32</f>
        <v>38360.6</v>
      </c>
      <c r="F34" s="937">
        <f>F26+F30+F32</f>
        <v>44260.3</v>
      </c>
      <c r="G34" s="937">
        <f>G26+G30 +G32</f>
        <v>48060.700000000004</v>
      </c>
      <c r="H34" s="937">
        <f>H32+H30+H26</f>
        <v>50277</v>
      </c>
      <c r="I34" s="937">
        <f>I32+I30+I26</f>
        <v>50574</v>
      </c>
      <c r="J34" s="937">
        <f>J32+J30+J26</f>
        <v>48429</v>
      </c>
      <c r="K34" s="937">
        <f>K26+K30+K32</f>
        <v>50449</v>
      </c>
      <c r="L34" s="937">
        <f>L26+L30+L32</f>
        <v>50243</v>
      </c>
      <c r="M34" s="936" t="str">
        <f>B34</f>
        <v>Total L&amp;E</v>
      </c>
      <c r="O34" s="926"/>
      <c r="P34" s="908"/>
    </row>
    <row r="35" spans="2:16" ht="17.25" thickTop="1" thickBot="1">
      <c r="B35" s="935"/>
      <c r="C35" s="934"/>
      <c r="D35" s="933"/>
      <c r="E35" s="933"/>
      <c r="F35" s="933"/>
      <c r="G35" s="933"/>
      <c r="H35" s="933"/>
      <c r="I35" s="933"/>
      <c r="J35" s="933"/>
      <c r="K35" s="933"/>
      <c r="L35" s="932"/>
      <c r="M35" s="931"/>
      <c r="O35" s="926" t="s">
        <v>655</v>
      </c>
      <c r="P35" s="908">
        <v>17771.257034936702</v>
      </c>
    </row>
    <row r="36" spans="2:16" ht="16.5" thickBot="1">
      <c r="B36" s="930" t="s">
        <v>779</v>
      </c>
      <c r="C36" s="929">
        <v>2001</v>
      </c>
      <c r="D36" s="928">
        <v>2002</v>
      </c>
      <c r="E36" s="928">
        <v>2003</v>
      </c>
      <c r="F36" s="928">
        <v>2004</v>
      </c>
      <c r="G36" s="928">
        <v>2005</v>
      </c>
      <c r="H36" s="928">
        <v>2006</v>
      </c>
      <c r="I36" s="928">
        <v>2007</v>
      </c>
      <c r="J36" s="928">
        <v>2008</v>
      </c>
      <c r="K36" s="928">
        <v>2009</v>
      </c>
      <c r="L36" s="927" t="s">
        <v>1050</v>
      </c>
      <c r="M36" s="909"/>
      <c r="O36" s="926"/>
      <c r="P36" s="908"/>
    </row>
    <row r="37" spans="2:16" s="914" customFormat="1" ht="16.5" thickBot="1">
      <c r="B37" s="925" t="s">
        <v>777</v>
      </c>
      <c r="C37" s="924">
        <f>'Actual IS'!C137</f>
        <v>172.2</v>
      </c>
      <c r="D37" s="923">
        <f>'Actual IS'!D137</f>
        <v>170.5</v>
      </c>
      <c r="E37" s="923">
        <f>'Actual IS'!E137</f>
        <v>179.2</v>
      </c>
      <c r="F37" s="923">
        <f>'Actual IS'!F137</f>
        <v>189.9</v>
      </c>
      <c r="G37" s="923">
        <f>'Actual IS'!G137</f>
        <v>198.2</v>
      </c>
      <c r="H37" s="923">
        <f>'Actual IS'!H137</f>
        <v>412.5</v>
      </c>
      <c r="I37" s="923">
        <f>'Actual IS'!I137</f>
        <v>393.6</v>
      </c>
      <c r="J37" s="923">
        <f>'Actual IS'!J137</f>
        <v>361.1</v>
      </c>
      <c r="K37" s="923">
        <f>'Actual IS'!K137</f>
        <v>350.1</v>
      </c>
      <c r="L37" s="922">
        <v>326</v>
      </c>
      <c r="M37" s="909"/>
      <c r="O37" s="921" t="s">
        <v>652</v>
      </c>
      <c r="P37" s="920">
        <v>22431.067034936703</v>
      </c>
    </row>
    <row r="38" spans="2:16" s="914" customFormat="1" ht="17.25" thickTop="1" thickBot="1">
      <c r="B38" s="919" t="s">
        <v>465</v>
      </c>
      <c r="C38" s="918">
        <f>'Actual IS'!C140</f>
        <v>175.8</v>
      </c>
      <c r="D38" s="917">
        <f>'Actual IS'!D140</f>
        <v>172.9</v>
      </c>
      <c r="E38" s="917">
        <f>'Actual IS'!E140</f>
        <v>181.3</v>
      </c>
      <c r="F38" s="917">
        <f>'Actual IS'!F140</f>
        <v>193.2</v>
      </c>
      <c r="G38" s="917">
        <f>'Actual IS'!G140</f>
        <v>204.2</v>
      </c>
      <c r="H38" s="917">
        <f>'Actual IS'!H140</f>
        <v>422.4</v>
      </c>
      <c r="I38" s="917">
        <f>'Actual IS'!I140</f>
        <v>400.3</v>
      </c>
      <c r="J38" s="917">
        <f>'Actual IS'!J140</f>
        <v>366.8</v>
      </c>
      <c r="K38" s="917">
        <f>'Actual IS'!K140</f>
        <v>353</v>
      </c>
      <c r="L38" s="916">
        <v>321.60000000000002</v>
      </c>
      <c r="M38" s="915" t="s">
        <v>776</v>
      </c>
      <c r="P38" s="908"/>
    </row>
    <row r="39" spans="2:16" ht="15.75">
      <c r="B39" s="913"/>
      <c r="C39" s="910"/>
      <c r="D39" s="910"/>
      <c r="E39" s="910"/>
      <c r="F39" s="910"/>
      <c r="G39" s="910"/>
      <c r="H39" s="910"/>
      <c r="I39" s="910"/>
      <c r="J39" s="910"/>
      <c r="K39" s="910"/>
      <c r="L39" s="910"/>
      <c r="M39" s="909"/>
      <c r="P39" s="908">
        <v>22431.22546458734</v>
      </c>
    </row>
    <row r="40" spans="2:16" ht="15.75">
      <c r="B40" s="912" t="s">
        <v>775</v>
      </c>
      <c r="C40" s="911"/>
      <c r="D40" s="911"/>
      <c r="E40" s="910"/>
      <c r="F40" s="910"/>
      <c r="G40" s="910"/>
      <c r="H40" s="910"/>
      <c r="I40" s="910"/>
      <c r="J40" s="910"/>
      <c r="K40" s="910"/>
      <c r="L40" s="910"/>
      <c r="M40" s="909"/>
      <c r="P40" s="908">
        <v>22431.067034936703</v>
      </c>
    </row>
    <row r="41" spans="2:16" ht="16.5" thickBot="1">
      <c r="B41" s="907" t="s">
        <v>774</v>
      </c>
      <c r="C41" s="906"/>
      <c r="D41" s="906"/>
      <c r="E41" s="906"/>
      <c r="F41" s="906"/>
      <c r="G41" s="906"/>
      <c r="H41" s="906"/>
      <c r="I41" s="906"/>
      <c r="J41" s="906"/>
      <c r="K41" s="906"/>
      <c r="L41" s="906"/>
      <c r="M41" s="905"/>
      <c r="P41" s="904">
        <v>0.15842965063711745</v>
      </c>
    </row>
  </sheetData>
  <customSheetViews>
    <customSheetView guid="{5A4827F7-D52D-44AD-B257-2AB13F875B96}" scale="75" fitToPage="1">
      <selection activeCell="L37" sqref="L37"/>
      <pageMargins left="0.5" right="0.5" top="0.5" bottom="0.5" header="0.5" footer="0.5"/>
      <printOptions horizontalCentered="1"/>
      <pageSetup scale="74" orientation="landscape" r:id="rId1"/>
      <headerFooter alignWithMargins="0"/>
    </customSheetView>
  </customSheetViews>
  <mergeCells count="3">
    <mergeCell ref="B3:M3"/>
    <mergeCell ref="B5:M5"/>
    <mergeCell ref="B4:M4"/>
  </mergeCells>
  <printOptions horizontalCentered="1"/>
  <pageMargins left="0.5" right="0.5" top="0.5" bottom="0.5" header="0.5" footer="0.5"/>
  <pageSetup scale="74" orientation="landscape"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P274"/>
  <sheetViews>
    <sheetView zoomScale="70" zoomScaleNormal="70" workbookViewId="0">
      <pane xSplit="2" ySplit="12" topLeftCell="C14" activePane="bottomRight" state="frozen"/>
      <selection activeCell="I17" sqref="I17:I18"/>
      <selection pane="topRight" activeCell="I17" sqref="I17:I18"/>
      <selection pane="bottomLeft" activeCell="I17" sqref="I17:I18"/>
      <selection pane="bottomRight" activeCell="L40" sqref="L40"/>
    </sheetView>
  </sheetViews>
  <sheetFormatPr defaultColWidth="9.1796875" defaultRowHeight="14.75"/>
  <cols>
    <col min="1" max="1" width="38.6796875" style="653" customWidth="1"/>
    <col min="2" max="2" width="21" style="653" hidden="1" customWidth="1"/>
    <col min="3" max="5" width="15" style="654" bestFit="1" customWidth="1"/>
    <col min="6" max="6" width="14.5" style="654" bestFit="1" customWidth="1"/>
    <col min="7" max="7" width="15" style="654" bestFit="1" customWidth="1"/>
    <col min="8" max="9" width="16.5" style="654" bestFit="1" customWidth="1"/>
    <col min="10" max="10" width="14.5" style="654" bestFit="1" customWidth="1"/>
    <col min="11" max="11" width="16.5" style="654" bestFit="1" customWidth="1"/>
    <col min="12" max="12" width="10.6796875" style="653" bestFit="1" customWidth="1"/>
    <col min="13" max="16384" width="9.1796875" style="653"/>
  </cols>
  <sheetData>
    <row r="1" spans="1:13">
      <c r="A1" s="653" t="s">
        <v>518</v>
      </c>
      <c r="B1" s="653" t="s">
        <v>517</v>
      </c>
      <c r="C1" s="654" t="e">
        <v>#NAME?</v>
      </c>
    </row>
    <row r="2" spans="1:13">
      <c r="A2" s="653" t="s">
        <v>516</v>
      </c>
      <c r="B2" s="653" t="s">
        <v>515</v>
      </c>
    </row>
    <row r="3" spans="1:13">
      <c r="A3" s="653" t="s">
        <v>514</v>
      </c>
      <c r="B3" s="653" t="s">
        <v>513</v>
      </c>
    </row>
    <row r="4" spans="1:13">
      <c r="A4" s="653" t="s">
        <v>512</v>
      </c>
      <c r="B4" s="677">
        <v>36526</v>
      </c>
    </row>
    <row r="5" spans="1:13">
      <c r="A5" s="653" t="s">
        <v>511</v>
      </c>
      <c r="B5" s="677">
        <v>40568</v>
      </c>
    </row>
    <row r="6" spans="1:13">
      <c r="A6" s="653" t="s">
        <v>510</v>
      </c>
      <c r="B6" s="653" t="s">
        <v>509</v>
      </c>
    </row>
    <row r="7" spans="1:13">
      <c r="A7" s="653" t="s">
        <v>508</v>
      </c>
      <c r="B7" s="653" t="s">
        <v>507</v>
      </c>
    </row>
    <row r="8" spans="1:13">
      <c r="A8" s="653" t="s">
        <v>506</v>
      </c>
      <c r="B8" s="653" t="s">
        <v>505</v>
      </c>
    </row>
    <row r="9" spans="1:13">
      <c r="A9" s="653" t="s">
        <v>504</v>
      </c>
      <c r="B9" s="653" t="s">
        <v>503</v>
      </c>
    </row>
    <row r="10" spans="1:13">
      <c r="A10" s="653" t="s">
        <v>502</v>
      </c>
      <c r="B10" s="653" t="s">
        <v>501</v>
      </c>
    </row>
    <row r="12" spans="1:13">
      <c r="A12" s="653" t="s">
        <v>500</v>
      </c>
      <c r="B12" s="653" t="s">
        <v>499</v>
      </c>
      <c r="C12" s="654" t="s">
        <v>498</v>
      </c>
      <c r="D12" s="654" t="s">
        <v>497</v>
      </c>
      <c r="E12" s="654" t="s">
        <v>496</v>
      </c>
      <c r="F12" s="654" t="s">
        <v>495</v>
      </c>
      <c r="G12" s="654" t="s">
        <v>494</v>
      </c>
      <c r="H12" s="654" t="s">
        <v>493</v>
      </c>
      <c r="I12" s="654" t="s">
        <v>492</v>
      </c>
      <c r="J12" s="654" t="s">
        <v>491</v>
      </c>
      <c r="K12" s="654" t="s">
        <v>490</v>
      </c>
      <c r="L12" s="676">
        <v>40451</v>
      </c>
    </row>
    <row r="13" spans="1:13">
      <c r="A13" s="653" t="s">
        <v>489</v>
      </c>
      <c r="B13" s="653" t="s">
        <v>487</v>
      </c>
      <c r="C13" s="654" t="s">
        <v>488</v>
      </c>
      <c r="D13" s="654" t="s">
        <v>488</v>
      </c>
      <c r="E13" s="654" t="s">
        <v>487</v>
      </c>
      <c r="F13" s="654" t="s">
        <v>487</v>
      </c>
      <c r="G13" s="654" t="s">
        <v>487</v>
      </c>
      <c r="H13" s="654" t="s">
        <v>487</v>
      </c>
      <c r="I13" s="654" t="s">
        <v>487</v>
      </c>
      <c r="J13" s="654" t="s">
        <v>487</v>
      </c>
      <c r="K13" s="654" t="s">
        <v>487</v>
      </c>
      <c r="L13" s="658"/>
    </row>
    <row r="14" spans="1:13">
      <c r="A14" s="653" t="s">
        <v>223</v>
      </c>
      <c r="L14" s="658"/>
    </row>
    <row r="15" spans="1:13">
      <c r="A15" s="653" t="s">
        <v>486</v>
      </c>
      <c r="L15" s="658"/>
    </row>
    <row r="16" spans="1:13">
      <c r="A16" s="656" t="s">
        <v>375</v>
      </c>
      <c r="B16" s="653">
        <v>605.6</v>
      </c>
      <c r="C16" s="654">
        <v>956.8</v>
      </c>
      <c r="D16" s="654">
        <v>1756.7</v>
      </c>
      <c r="E16" s="654">
        <v>2695.9</v>
      </c>
      <c r="F16" s="654">
        <v>1307.5</v>
      </c>
      <c r="G16" s="654">
        <v>1898.5</v>
      </c>
      <c r="H16" s="654">
        <v>2254</v>
      </c>
      <c r="I16" s="654">
        <v>1839</v>
      </c>
      <c r="J16" s="654">
        <v>2478</v>
      </c>
      <c r="K16" s="654">
        <v>1918</v>
      </c>
      <c r="L16" s="658">
        <v>2046</v>
      </c>
      <c r="M16" s="653" t="s">
        <v>430</v>
      </c>
    </row>
    <row r="17" spans="1:13">
      <c r="A17" s="653" t="s">
        <v>485</v>
      </c>
      <c r="B17" s="653">
        <v>8380.5</v>
      </c>
      <c r="L17" s="658"/>
    </row>
    <row r="18" spans="1:13">
      <c r="A18" s="653" t="s">
        <v>484</v>
      </c>
      <c r="B18" s="653">
        <v>5687.8</v>
      </c>
      <c r="L18" s="658"/>
      <c r="M18" s="653" t="s">
        <v>430</v>
      </c>
    </row>
    <row r="19" spans="1:13">
      <c r="A19" s="653" t="s">
        <v>483</v>
      </c>
      <c r="C19" s="654">
        <v>8372.9</v>
      </c>
      <c r="L19" s="658"/>
    </row>
    <row r="20" spans="1:13">
      <c r="A20" s="653" t="s">
        <v>482</v>
      </c>
      <c r="C20" s="654">
        <v>6525.3</v>
      </c>
      <c r="L20" s="658"/>
    </row>
    <row r="21" spans="1:13">
      <c r="A21" s="653" t="s">
        <v>481</v>
      </c>
      <c r="D21" s="654">
        <v>9082.9</v>
      </c>
      <c r="E21" s="654">
        <v>11154</v>
      </c>
      <c r="L21" s="658"/>
    </row>
    <row r="22" spans="1:13">
      <c r="A22" s="653" t="s">
        <v>480</v>
      </c>
      <c r="D22" s="654">
        <v>8385.7000000000007</v>
      </c>
      <c r="E22" s="654">
        <v>10790.7</v>
      </c>
      <c r="L22" s="658"/>
    </row>
    <row r="23" spans="1:13">
      <c r="A23" s="653" t="s">
        <v>479</v>
      </c>
      <c r="F23" s="654">
        <v>14071.3</v>
      </c>
      <c r="L23" s="658"/>
    </row>
    <row r="24" spans="1:13">
      <c r="A24" s="653" t="s">
        <v>479</v>
      </c>
      <c r="F24" s="654">
        <v>13620.8</v>
      </c>
      <c r="L24" s="658"/>
    </row>
    <row r="25" spans="1:13">
      <c r="A25" s="653" t="s">
        <v>478</v>
      </c>
      <c r="G25" s="654">
        <v>15749.5</v>
      </c>
      <c r="L25" s="658"/>
    </row>
    <row r="26" spans="1:13">
      <c r="A26" s="653" t="s">
        <v>477</v>
      </c>
      <c r="G26" s="654">
        <v>14568.4</v>
      </c>
      <c r="L26" s="658"/>
    </row>
    <row r="27" spans="1:13">
      <c r="A27" s="653" t="s">
        <v>476</v>
      </c>
      <c r="H27" s="654">
        <v>17613</v>
      </c>
      <c r="L27" s="658"/>
    </row>
    <row r="28" spans="1:13">
      <c r="A28" s="653" t="s">
        <v>475</v>
      </c>
      <c r="H28" s="654">
        <v>14218</v>
      </c>
      <c r="L28" s="658"/>
    </row>
    <row r="29" spans="1:13">
      <c r="A29" s="653" t="s">
        <v>474</v>
      </c>
      <c r="I29" s="654">
        <v>18559</v>
      </c>
      <c r="L29" s="658"/>
    </row>
    <row r="30" spans="1:13">
      <c r="A30" s="653" t="s">
        <v>473</v>
      </c>
      <c r="I30" s="654">
        <v>15312</v>
      </c>
      <c r="L30" s="658"/>
    </row>
    <row r="31" spans="1:13">
      <c r="A31" s="653" t="s">
        <v>472</v>
      </c>
      <c r="J31" s="654">
        <v>18345</v>
      </c>
      <c r="L31" s="658"/>
    </row>
    <row r="32" spans="1:13">
      <c r="A32" s="653" t="s">
        <v>471</v>
      </c>
      <c r="J32" s="654">
        <v>14410</v>
      </c>
      <c r="L32" s="658"/>
    </row>
    <row r="33" spans="1:16">
      <c r="A33" s="653" t="s">
        <v>470</v>
      </c>
      <c r="K33" s="654">
        <v>19587</v>
      </c>
      <c r="L33" s="658"/>
      <c r="P33" s="653">
        <f>29896.2-C55</f>
        <v>447.20000000000073</v>
      </c>
    </row>
    <row r="34" spans="1:16">
      <c r="A34" s="653" t="s">
        <v>469</v>
      </c>
      <c r="K34" s="654">
        <v>16991</v>
      </c>
      <c r="L34" s="658"/>
    </row>
    <row r="35" spans="1:16">
      <c r="A35" s="653" t="s">
        <v>468</v>
      </c>
      <c r="L35" s="658">
        <v>20248</v>
      </c>
    </row>
    <row r="36" spans="1:16">
      <c r="A36" s="653" t="s">
        <v>467</v>
      </c>
      <c r="L36" s="658">
        <v>17136</v>
      </c>
    </row>
    <row r="37" spans="1:16">
      <c r="A37" s="653" t="s">
        <v>466</v>
      </c>
      <c r="B37" s="653">
        <v>830.6</v>
      </c>
      <c r="C37" s="675">
        <v>710.4</v>
      </c>
      <c r="D37" s="675">
        <v>992.2</v>
      </c>
      <c r="E37" s="675">
        <v>1514.4</v>
      </c>
      <c r="F37" s="675">
        <v>1841.3</v>
      </c>
      <c r="G37" s="675">
        <v>2212.4</v>
      </c>
      <c r="H37" s="675">
        <v>1957</v>
      </c>
      <c r="I37" s="675">
        <v>2320</v>
      </c>
      <c r="J37" s="675">
        <v>1479</v>
      </c>
      <c r="K37" s="675">
        <v>1433</v>
      </c>
      <c r="L37" s="674">
        <v>1550</v>
      </c>
    </row>
    <row r="38" spans="1:16">
      <c r="A38" s="653" t="s">
        <v>372</v>
      </c>
      <c r="B38" s="653" t="s">
        <v>465</v>
      </c>
      <c r="C38" s="654">
        <v>175.8</v>
      </c>
      <c r="D38" s="654">
        <v>172.9</v>
      </c>
      <c r="E38" s="654">
        <v>181.3</v>
      </c>
      <c r="F38" s="654">
        <v>193.2</v>
      </c>
      <c r="G38" s="654">
        <v>204.2</v>
      </c>
      <c r="H38" s="654">
        <v>422.4</v>
      </c>
      <c r="I38" s="654">
        <v>400.3</v>
      </c>
      <c r="J38" s="654">
        <v>366.8</v>
      </c>
      <c r="K38" s="654">
        <v>353</v>
      </c>
      <c r="L38" s="658">
        <v>2213</v>
      </c>
    </row>
    <row r="39" spans="1:16">
      <c r="A39" s="653" t="s">
        <v>464</v>
      </c>
      <c r="B39" s="653">
        <v>1496.1</v>
      </c>
      <c r="C39" s="654">
        <v>1218.5</v>
      </c>
      <c r="D39" s="654">
        <v>794.9</v>
      </c>
      <c r="E39" s="654">
        <v>467</v>
      </c>
      <c r="F39" s="654">
        <v>317.2</v>
      </c>
      <c r="G39" s="654">
        <v>204.6</v>
      </c>
      <c r="H39" s="654">
        <v>135</v>
      </c>
      <c r="L39" s="658" t="s">
        <v>430</v>
      </c>
    </row>
    <row r="40" spans="1:16">
      <c r="A40" s="673" t="s">
        <v>463</v>
      </c>
      <c r="B40" s="672">
        <v>17000.599999999999</v>
      </c>
      <c r="C40" s="671">
        <v>17783.900000000001</v>
      </c>
      <c r="D40" s="671">
        <v>21012.400000000001</v>
      </c>
      <c r="E40" s="671">
        <v>26622</v>
      </c>
      <c r="F40" s="671">
        <v>31158.1</v>
      </c>
      <c r="G40" s="671">
        <v>34633.4</v>
      </c>
      <c r="H40" s="671">
        <v>37693</v>
      </c>
      <c r="I40" s="671">
        <v>40081</v>
      </c>
      <c r="J40" s="671">
        <v>38738</v>
      </c>
      <c r="K40" s="671">
        <v>42004</v>
      </c>
      <c r="L40" s="670">
        <v>42213</v>
      </c>
    </row>
    <row r="41" spans="1:16">
      <c r="A41" s="668" t="s">
        <v>462</v>
      </c>
      <c r="C41" s="654">
        <v>386.2</v>
      </c>
      <c r="D41" s="654">
        <v>266.7</v>
      </c>
      <c r="E41" s="654">
        <v>312.3</v>
      </c>
      <c r="F41" s="654">
        <v>346.2</v>
      </c>
      <c r="G41" s="654">
        <v>260</v>
      </c>
      <c r="L41" s="658" t="s">
        <v>430</v>
      </c>
    </row>
    <row r="42" spans="1:16">
      <c r="A42" s="668" t="s">
        <v>461</v>
      </c>
      <c r="B42" s="653">
        <v>451.1</v>
      </c>
      <c r="C42" s="654">
        <v>417.5</v>
      </c>
      <c r="D42" s="654">
        <v>1354.8</v>
      </c>
      <c r="E42" s="654">
        <v>704.8</v>
      </c>
      <c r="G42" s="654">
        <v>2076.8000000000002</v>
      </c>
      <c r="H42" s="654">
        <v>2620</v>
      </c>
      <c r="I42" s="654">
        <v>1247</v>
      </c>
      <c r="L42" s="658" t="s">
        <v>430</v>
      </c>
      <c r="M42" s="653" t="s">
        <v>430</v>
      </c>
    </row>
    <row r="43" spans="1:16">
      <c r="A43" s="668" t="s">
        <v>460</v>
      </c>
      <c r="B43" s="653">
        <v>677.1</v>
      </c>
      <c r="C43" s="654">
        <v>646.6</v>
      </c>
      <c r="D43" s="654">
        <v>551.4</v>
      </c>
      <c r="E43" s="654">
        <v>518.79999999999995</v>
      </c>
      <c r="F43" s="654">
        <v>474.2</v>
      </c>
      <c r="G43" s="654">
        <v>367.4</v>
      </c>
      <c r="H43" s="654">
        <v>201</v>
      </c>
      <c r="L43" s="658" t="s">
        <v>430</v>
      </c>
      <c r="M43" s="653" t="s">
        <v>430</v>
      </c>
    </row>
    <row r="44" spans="1:16">
      <c r="A44" s="668" t="s">
        <v>454</v>
      </c>
      <c r="L44" s="658"/>
      <c r="M44" s="653" t="s">
        <v>430</v>
      </c>
    </row>
    <row r="45" spans="1:16">
      <c r="A45" s="656" t="s">
        <v>196</v>
      </c>
      <c r="B45" s="653">
        <v>22.4</v>
      </c>
      <c r="C45" s="654">
        <v>25.8</v>
      </c>
      <c r="D45" s="654">
        <v>41.9</v>
      </c>
      <c r="E45" s="654">
        <v>52.2</v>
      </c>
      <c r="F45" s="654">
        <v>41.7</v>
      </c>
      <c r="G45" s="654">
        <v>35.6</v>
      </c>
      <c r="H45" s="654">
        <v>38</v>
      </c>
      <c r="I45" s="654">
        <v>49</v>
      </c>
      <c r="J45" s="654">
        <v>56</v>
      </c>
      <c r="K45" s="654">
        <v>51</v>
      </c>
      <c r="L45" s="658">
        <v>77</v>
      </c>
    </row>
    <row r="46" spans="1:16">
      <c r="A46" s="668" t="s">
        <v>459</v>
      </c>
      <c r="B46" s="653">
        <v>246.8</v>
      </c>
      <c r="C46" s="654">
        <v>247.7</v>
      </c>
      <c r="D46" s="654">
        <v>246.9</v>
      </c>
      <c r="E46" s="654">
        <v>286.8</v>
      </c>
      <c r="F46" s="654">
        <v>350</v>
      </c>
      <c r="G46" s="654">
        <v>391</v>
      </c>
      <c r="H46" s="654">
        <v>411</v>
      </c>
      <c r="I46" s="654">
        <v>440</v>
      </c>
      <c r="J46" s="654">
        <v>435</v>
      </c>
      <c r="K46" s="654">
        <v>460</v>
      </c>
      <c r="L46" s="658">
        <v>452</v>
      </c>
    </row>
    <row r="47" spans="1:16">
      <c r="A47" s="656" t="s">
        <v>458</v>
      </c>
      <c r="B47" s="653">
        <v>1409.8</v>
      </c>
      <c r="C47" s="654">
        <v>1692.8</v>
      </c>
      <c r="D47" s="654">
        <v>2040.6</v>
      </c>
      <c r="E47" s="654">
        <v>2188</v>
      </c>
      <c r="F47" s="654">
        <v>2336.4</v>
      </c>
      <c r="G47" s="654">
        <v>2319.1999999999998</v>
      </c>
      <c r="H47" s="654">
        <v>2314</v>
      </c>
      <c r="I47" s="654">
        <v>2227</v>
      </c>
      <c r="J47" s="654">
        <v>2201</v>
      </c>
      <c r="K47" s="654">
        <v>2101</v>
      </c>
      <c r="L47" s="658">
        <v>1974</v>
      </c>
    </row>
    <row r="48" spans="1:16">
      <c r="A48" s="669" t="s">
        <v>457</v>
      </c>
      <c r="B48" s="653">
        <v>1853.3</v>
      </c>
      <c r="C48" s="654">
        <v>4505.2</v>
      </c>
      <c r="D48" s="654">
        <v>4071.5</v>
      </c>
      <c r="E48" s="654">
        <v>3426.6</v>
      </c>
      <c r="F48" s="654">
        <v>3483.2</v>
      </c>
      <c r="G48" s="654">
        <v>3769.2</v>
      </c>
      <c r="H48" s="654">
        <v>2594</v>
      </c>
      <c r="I48" s="654">
        <v>2307</v>
      </c>
      <c r="J48" s="654">
        <v>2212</v>
      </c>
      <c r="K48" s="654">
        <v>2053</v>
      </c>
      <c r="L48" s="658">
        <v>1896</v>
      </c>
    </row>
    <row r="49" spans="1:13">
      <c r="A49" s="668" t="s">
        <v>456</v>
      </c>
      <c r="B49" s="653">
        <v>246</v>
      </c>
      <c r="C49" s="654">
        <v>340.8</v>
      </c>
      <c r="D49" s="654">
        <v>479.3</v>
      </c>
      <c r="E49" s="654">
        <v>391</v>
      </c>
      <c r="F49" s="654">
        <v>328.3</v>
      </c>
      <c r="G49" s="654">
        <v>244.2</v>
      </c>
      <c r="H49" s="654">
        <v>354</v>
      </c>
      <c r="I49" s="654">
        <v>392</v>
      </c>
      <c r="J49" s="654">
        <v>373</v>
      </c>
      <c r="K49" s="654">
        <v>308</v>
      </c>
      <c r="L49" s="658">
        <v>319</v>
      </c>
    </row>
    <row r="50" spans="1:13">
      <c r="A50" s="668" t="s">
        <v>455</v>
      </c>
      <c r="B50" s="653">
        <v>842</v>
      </c>
      <c r="C50" s="654">
        <v>928.8</v>
      </c>
      <c r="D50" s="654">
        <v>1150</v>
      </c>
      <c r="E50" s="654">
        <v>1343.4</v>
      </c>
      <c r="F50" s="654">
        <v>1434.7</v>
      </c>
      <c r="G50" s="654">
        <v>1444.8</v>
      </c>
      <c r="H50" s="654">
        <v>1480</v>
      </c>
      <c r="I50" s="654">
        <v>1556</v>
      </c>
      <c r="J50" s="654">
        <v>1532</v>
      </c>
      <c r="K50" s="654">
        <v>1533</v>
      </c>
      <c r="L50" s="658">
        <v>1563</v>
      </c>
    </row>
    <row r="51" spans="1:13">
      <c r="A51" s="668" t="s">
        <v>449</v>
      </c>
      <c r="B51" s="653">
        <v>501</v>
      </c>
      <c r="C51" s="654">
        <v>674.8</v>
      </c>
      <c r="D51" s="654">
        <v>630.5</v>
      </c>
      <c r="E51" s="654">
        <v>641.4</v>
      </c>
      <c r="F51" s="654">
        <v>533.5</v>
      </c>
      <c r="G51" s="654">
        <v>622.5</v>
      </c>
      <c r="H51" s="654">
        <v>591</v>
      </c>
      <c r="I51" s="654">
        <v>442</v>
      </c>
      <c r="J51" s="654">
        <v>1144</v>
      </c>
      <c r="K51" s="654">
        <v>272</v>
      </c>
      <c r="L51" s="658" t="s">
        <v>430</v>
      </c>
    </row>
    <row r="52" spans="1:13">
      <c r="A52" s="668" t="s">
        <v>217</v>
      </c>
      <c r="B52" s="653">
        <v>487.3</v>
      </c>
      <c r="C52" s="654">
        <v>467.4</v>
      </c>
      <c r="D52" s="654">
        <v>467.4</v>
      </c>
      <c r="E52" s="654">
        <v>467.4</v>
      </c>
      <c r="F52" s="654">
        <v>467.4</v>
      </c>
      <c r="G52" s="654">
        <v>467.4</v>
      </c>
      <c r="H52" s="654">
        <v>467</v>
      </c>
      <c r="I52" s="654">
        <v>467</v>
      </c>
      <c r="J52" s="654">
        <v>467</v>
      </c>
      <c r="K52" s="654">
        <v>467</v>
      </c>
      <c r="L52" s="658">
        <v>467</v>
      </c>
    </row>
    <row r="53" spans="1:13">
      <c r="A53" s="656" t="s">
        <v>454</v>
      </c>
      <c r="B53" s="653">
        <v>1289.3</v>
      </c>
      <c r="C53" s="654">
        <v>1331.5</v>
      </c>
      <c r="D53" s="654">
        <v>1767.5</v>
      </c>
      <c r="E53" s="654">
        <v>1405.9</v>
      </c>
      <c r="F53" s="654">
        <v>3306.6000000000004</v>
      </c>
      <c r="G53" s="654">
        <v>1429.2</v>
      </c>
      <c r="H53" s="654">
        <v>1514</v>
      </c>
      <c r="I53" s="654">
        <v>1366</v>
      </c>
      <c r="J53" s="654">
        <v>1271</v>
      </c>
      <c r="K53" s="654">
        <v>1200</v>
      </c>
      <c r="L53" s="658">
        <v>1282</v>
      </c>
    </row>
    <row r="54" spans="1:13">
      <c r="A54" s="653" t="s">
        <v>454</v>
      </c>
      <c r="L54" s="658" t="s">
        <v>430</v>
      </c>
    </row>
    <row r="55" spans="1:13" s="662" customFormat="1">
      <c r="A55" s="662" t="s">
        <v>453</v>
      </c>
      <c r="B55" s="662">
        <v>25026.7</v>
      </c>
      <c r="C55" s="664">
        <v>29449</v>
      </c>
      <c r="D55" s="664">
        <v>34080.9</v>
      </c>
      <c r="E55" s="664">
        <v>38360.6</v>
      </c>
      <c r="F55" s="664">
        <v>44260.3</v>
      </c>
      <c r="G55" s="664">
        <v>48060.7</v>
      </c>
      <c r="H55" s="664">
        <v>50277</v>
      </c>
      <c r="I55" s="664">
        <v>50574</v>
      </c>
      <c r="J55" s="664">
        <v>48429</v>
      </c>
      <c r="K55" s="664">
        <v>50449</v>
      </c>
      <c r="L55" s="663">
        <f>L40+SUM(L45:L54)</f>
        <v>50243</v>
      </c>
    </row>
    <row r="56" spans="1:13" s="659" customFormat="1">
      <c r="C56" s="661"/>
      <c r="D56" s="661"/>
      <c r="E56" s="661"/>
      <c r="F56" s="661"/>
      <c r="G56" s="661"/>
      <c r="H56" s="661"/>
      <c r="I56" s="661"/>
      <c r="J56" s="661"/>
      <c r="K56" s="661"/>
      <c r="L56" s="658"/>
    </row>
    <row r="57" spans="1:13">
      <c r="L57" s="658"/>
    </row>
    <row r="58" spans="1:13">
      <c r="A58" s="653" t="s">
        <v>452</v>
      </c>
      <c r="L58" s="658" t="s">
        <v>430</v>
      </c>
      <c r="M58" s="653" t="s">
        <v>430</v>
      </c>
    </row>
    <row r="59" spans="1:13">
      <c r="A59" s="656" t="s">
        <v>451</v>
      </c>
      <c r="B59" s="653">
        <v>11904.6</v>
      </c>
      <c r="C59" s="654">
        <v>15514.9</v>
      </c>
      <c r="D59" s="654">
        <v>16713.099999999999</v>
      </c>
      <c r="E59" s="654">
        <v>17947.8</v>
      </c>
      <c r="F59" s="654">
        <v>20291.900000000001</v>
      </c>
      <c r="G59" s="654">
        <v>22481.7</v>
      </c>
      <c r="H59" s="654">
        <v>22293</v>
      </c>
      <c r="I59" s="654">
        <v>22623</v>
      </c>
      <c r="J59" s="654">
        <v>22367</v>
      </c>
      <c r="K59" s="654">
        <v>22839</v>
      </c>
      <c r="L59" s="658">
        <v>22755</v>
      </c>
    </row>
    <row r="60" spans="1:13">
      <c r="A60" s="656" t="s">
        <v>450</v>
      </c>
      <c r="B60" s="653">
        <v>3516.3</v>
      </c>
      <c r="C60" s="654">
        <v>3916.2</v>
      </c>
      <c r="D60" s="654">
        <v>5049.8999999999996</v>
      </c>
      <c r="E60" s="654">
        <v>5939.4</v>
      </c>
      <c r="F60" s="654">
        <v>6355.9</v>
      </c>
      <c r="G60" s="654">
        <v>6360.7</v>
      </c>
      <c r="H60" s="654">
        <v>6546</v>
      </c>
      <c r="I60" s="654">
        <v>6599</v>
      </c>
      <c r="J60" s="654">
        <v>6367</v>
      </c>
      <c r="K60" s="654">
        <v>6153</v>
      </c>
      <c r="L60" s="658">
        <v>6133</v>
      </c>
    </row>
    <row r="61" spans="1:13">
      <c r="A61" s="653" t="s">
        <v>449</v>
      </c>
      <c r="L61" s="658">
        <v>148</v>
      </c>
    </row>
    <row r="62" spans="1:13">
      <c r="A62" s="656" t="s">
        <v>448</v>
      </c>
      <c r="C62" s="654">
        <v>199</v>
      </c>
      <c r="K62" s="1134">
        <f>K55-K80</f>
        <v>0</v>
      </c>
      <c r="L62" s="667">
        <v>-839</v>
      </c>
    </row>
    <row r="63" spans="1:13">
      <c r="A63" s="666" t="s">
        <v>447</v>
      </c>
      <c r="B63" s="653">
        <v>753.8</v>
      </c>
      <c r="C63" s="654">
        <v>1351</v>
      </c>
      <c r="D63" s="654">
        <v>1959.1</v>
      </c>
      <c r="E63" s="654">
        <v>2813.9</v>
      </c>
      <c r="F63" s="654">
        <v>2813.7</v>
      </c>
      <c r="G63" s="654">
        <v>2467.3000000000002</v>
      </c>
      <c r="H63" s="654">
        <v>2466</v>
      </c>
      <c r="I63" s="654">
        <v>3460</v>
      </c>
      <c r="J63" s="654">
        <v>3975</v>
      </c>
      <c r="K63" s="654">
        <v>3975</v>
      </c>
      <c r="L63" s="658">
        <v>3975</v>
      </c>
    </row>
    <row r="64" spans="1:13">
      <c r="A64" s="656" t="s">
        <v>446</v>
      </c>
      <c r="B64" s="653">
        <v>451.1</v>
      </c>
      <c r="C64" s="654">
        <v>417.5</v>
      </c>
      <c r="D64" s="654">
        <v>1354.8</v>
      </c>
      <c r="E64" s="654">
        <v>704.8</v>
      </c>
      <c r="F64" s="654">
        <v>1853.9</v>
      </c>
      <c r="G64" s="654">
        <v>2076.8000000000002</v>
      </c>
      <c r="H64" s="654">
        <v>2620</v>
      </c>
      <c r="I64" s="654">
        <v>1247</v>
      </c>
      <c r="L64" s="658" t="s">
        <v>430</v>
      </c>
      <c r="M64" s="653" t="s">
        <v>430</v>
      </c>
    </row>
    <row r="65" spans="1:13">
      <c r="A65" s="656" t="s">
        <v>445</v>
      </c>
      <c r="B65" s="653">
        <v>57.8</v>
      </c>
      <c r="C65" s="654">
        <v>57.8</v>
      </c>
      <c r="D65" s="654">
        <v>59.9</v>
      </c>
      <c r="E65" s="654">
        <v>67.7</v>
      </c>
      <c r="F65" s="654">
        <v>75</v>
      </c>
      <c r="G65" s="654">
        <v>90.2</v>
      </c>
      <c r="H65" s="654">
        <v>104</v>
      </c>
      <c r="I65" s="654">
        <v>110</v>
      </c>
      <c r="J65" s="654">
        <v>118</v>
      </c>
      <c r="K65" s="654">
        <v>118</v>
      </c>
      <c r="L65" s="658">
        <v>115</v>
      </c>
    </row>
    <row r="66" spans="1:13">
      <c r="A66" s="656" t="s">
        <v>444</v>
      </c>
      <c r="B66" s="653">
        <v>1361.4</v>
      </c>
      <c r="C66" s="654">
        <v>1467.3</v>
      </c>
      <c r="D66" s="654">
        <v>2118.4</v>
      </c>
      <c r="E66" s="654">
        <v>2365</v>
      </c>
      <c r="F66" s="654">
        <v>2743.5</v>
      </c>
      <c r="G66" s="654">
        <v>2177</v>
      </c>
      <c r="H66" s="654">
        <v>2385</v>
      </c>
      <c r="I66" s="654">
        <v>2090</v>
      </c>
      <c r="J66" s="654">
        <v>2170</v>
      </c>
      <c r="K66" s="654">
        <v>1730</v>
      </c>
      <c r="L66" s="658">
        <v>1977</v>
      </c>
    </row>
    <row r="67" spans="1:13" s="662" customFormat="1">
      <c r="A67" s="662" t="s">
        <v>443</v>
      </c>
      <c r="B67" s="662">
        <v>18045</v>
      </c>
      <c r="C67" s="664">
        <v>22923.7</v>
      </c>
      <c r="D67" s="664">
        <v>27255.200000000001</v>
      </c>
      <c r="E67" s="664">
        <v>29838.6</v>
      </c>
      <c r="F67" s="664">
        <v>34133.9</v>
      </c>
      <c r="G67" s="664">
        <v>35653.699999999997</v>
      </c>
      <c r="H67" s="664">
        <v>36414</v>
      </c>
      <c r="I67" s="664">
        <v>36129</v>
      </c>
      <c r="J67" s="664">
        <v>34997</v>
      </c>
      <c r="K67" s="664">
        <v>34815</v>
      </c>
      <c r="L67" s="663">
        <f>SUM(L59:L66)</f>
        <v>34264</v>
      </c>
      <c r="M67" s="662" t="s">
        <v>430</v>
      </c>
    </row>
    <row r="68" spans="1:13" s="659" customFormat="1">
      <c r="C68" s="661"/>
      <c r="D68" s="661"/>
      <c r="E68" s="661"/>
      <c r="F68" s="661"/>
      <c r="G68" s="661"/>
      <c r="H68" s="661"/>
      <c r="I68" s="661"/>
      <c r="J68" s="661"/>
      <c r="K68" s="661"/>
      <c r="L68" s="660"/>
    </row>
    <row r="69" spans="1:13">
      <c r="A69" s="653" t="s">
        <v>442</v>
      </c>
      <c r="L69" s="658"/>
      <c r="M69" s="653" t="s">
        <v>430</v>
      </c>
    </row>
    <row r="70" spans="1:13">
      <c r="A70" s="653" t="s">
        <v>441</v>
      </c>
      <c r="B70" s="653">
        <v>-62.5</v>
      </c>
      <c r="C70" s="654">
        <v>-48.9</v>
      </c>
      <c r="D70" s="654">
        <v>-34.1</v>
      </c>
      <c r="E70" s="654">
        <v>-17.899999999999999</v>
      </c>
      <c r="L70" s="658" t="s">
        <v>430</v>
      </c>
      <c r="M70" s="653" t="s">
        <v>430</v>
      </c>
    </row>
    <row r="71" spans="1:13">
      <c r="A71" s="653" t="s">
        <v>440</v>
      </c>
      <c r="K71" s="654">
        <v>0</v>
      </c>
      <c r="L71" s="658"/>
      <c r="M71" s="653" t="s">
        <v>430</v>
      </c>
    </row>
    <row r="72" spans="1:13">
      <c r="A72" s="653" t="s">
        <v>439</v>
      </c>
      <c r="B72" s="653">
        <v>178.8</v>
      </c>
      <c r="C72" s="654">
        <v>180.1</v>
      </c>
      <c r="D72" s="654">
        <v>180.3</v>
      </c>
      <c r="E72" s="654">
        <v>195.8</v>
      </c>
      <c r="F72" s="654">
        <v>195.8</v>
      </c>
      <c r="G72" s="654">
        <v>210.4</v>
      </c>
      <c r="H72" s="654">
        <v>411</v>
      </c>
      <c r="I72" s="654">
        <v>375</v>
      </c>
      <c r="J72" s="654">
        <v>372</v>
      </c>
      <c r="K72" s="654">
        <v>372</v>
      </c>
      <c r="L72" s="658">
        <v>372</v>
      </c>
    </row>
    <row r="73" spans="1:13">
      <c r="A73" s="653" t="s">
        <v>438</v>
      </c>
      <c r="B73" s="653">
        <v>466</v>
      </c>
      <c r="C73" s="654">
        <v>527</v>
      </c>
      <c r="D73" s="654">
        <v>445.4</v>
      </c>
      <c r="E73" s="654">
        <v>1318.8</v>
      </c>
      <c r="F73" s="654">
        <v>1319.1</v>
      </c>
      <c r="G73" s="654">
        <v>2364.4</v>
      </c>
      <c r="H73" s="654">
        <v>1539</v>
      </c>
      <c r="I73" s="654">
        <v>346</v>
      </c>
      <c r="J73" s="654">
        <v>253</v>
      </c>
      <c r="K73" s="654">
        <v>224</v>
      </c>
      <c r="L73" s="658">
        <v>191</v>
      </c>
    </row>
    <row r="74" spans="1:13">
      <c r="A74" s="653" t="s">
        <v>437</v>
      </c>
      <c r="B74" s="653">
        <v>6492.6</v>
      </c>
      <c r="C74" s="654">
        <v>6369.3</v>
      </c>
      <c r="D74" s="654">
        <v>6319</v>
      </c>
      <c r="E74" s="654">
        <v>6868.9</v>
      </c>
      <c r="F74" s="654">
        <v>8119.1</v>
      </c>
      <c r="G74" s="654">
        <v>9599.7000000000007</v>
      </c>
      <c r="H74" s="654">
        <v>11711</v>
      </c>
      <c r="I74" s="654">
        <v>13280</v>
      </c>
      <c r="J74" s="654">
        <v>14509</v>
      </c>
      <c r="K74" s="654">
        <v>16235</v>
      </c>
      <c r="L74" s="658">
        <v>17435</v>
      </c>
    </row>
    <row r="75" spans="1:13">
      <c r="A75" s="653" t="s">
        <v>436</v>
      </c>
      <c r="H75" s="654">
        <v>202</v>
      </c>
      <c r="I75" s="654">
        <v>444</v>
      </c>
      <c r="J75" s="654">
        <v>-735</v>
      </c>
      <c r="K75" s="654">
        <v>720</v>
      </c>
      <c r="L75" s="658">
        <v>1314</v>
      </c>
    </row>
    <row r="76" spans="1:13">
      <c r="A76" s="665" t="s">
        <v>435</v>
      </c>
      <c r="B76" s="653">
        <v>-244.8</v>
      </c>
      <c r="C76" s="654">
        <v>-681.8</v>
      </c>
      <c r="D76" s="654">
        <v>-613.9</v>
      </c>
      <c r="E76" s="654">
        <v>-529.20000000000005</v>
      </c>
      <c r="F76" s="654">
        <v>-211.1</v>
      </c>
      <c r="G76" s="654">
        <v>-134.9</v>
      </c>
      <c r="J76" s="654">
        <v>-967</v>
      </c>
      <c r="K76" s="654">
        <v>-1917</v>
      </c>
      <c r="L76" s="658">
        <v>-3333</v>
      </c>
    </row>
    <row r="77" spans="1:13">
      <c r="A77" s="653" t="s">
        <v>434</v>
      </c>
      <c r="B77" s="653">
        <v>220.1</v>
      </c>
      <c r="C77" s="654">
        <v>252.6</v>
      </c>
      <c r="D77" s="654">
        <v>585.5</v>
      </c>
      <c r="E77" s="654">
        <v>673.6</v>
      </c>
      <c r="F77" s="654">
        <v>624.5</v>
      </c>
      <c r="G77" s="654">
        <v>310.7</v>
      </c>
      <c r="L77" s="658"/>
    </row>
    <row r="78" spans="1:13">
      <c r="A78" s="653" t="s">
        <v>433</v>
      </c>
      <c r="B78" s="653">
        <v>-68.5</v>
      </c>
      <c r="C78" s="654">
        <v>-73</v>
      </c>
      <c r="D78" s="654">
        <v>-56.5</v>
      </c>
      <c r="E78" s="654">
        <v>12</v>
      </c>
      <c r="F78" s="654">
        <v>79</v>
      </c>
      <c r="G78" s="654">
        <v>56.7</v>
      </c>
      <c r="L78" s="658"/>
    </row>
    <row r="79" spans="1:13" s="662" customFormat="1">
      <c r="A79" s="662" t="s">
        <v>432</v>
      </c>
      <c r="B79" s="662">
        <v>6981.7</v>
      </c>
      <c r="C79" s="664">
        <v>6525.3</v>
      </c>
      <c r="D79" s="664">
        <v>6825.7</v>
      </c>
      <c r="E79" s="664">
        <v>8522</v>
      </c>
      <c r="F79" s="664">
        <v>10126.4</v>
      </c>
      <c r="G79" s="664">
        <v>12407</v>
      </c>
      <c r="H79" s="664">
        <v>13863</v>
      </c>
      <c r="I79" s="664">
        <v>14445</v>
      </c>
      <c r="J79" s="664">
        <v>13432</v>
      </c>
      <c r="K79" s="664">
        <v>15634</v>
      </c>
      <c r="L79" s="663">
        <v>15979</v>
      </c>
    </row>
    <row r="80" spans="1:13" s="659" customFormat="1">
      <c r="C80" s="661">
        <f t="shared" ref="C80:K80" si="0">C79+C67</f>
        <v>29449</v>
      </c>
      <c r="D80" s="661">
        <f t="shared" si="0"/>
        <v>34080.9</v>
      </c>
      <c r="E80" s="661">
        <f t="shared" si="0"/>
        <v>38360.6</v>
      </c>
      <c r="F80" s="661">
        <f t="shared" si="0"/>
        <v>44260.3</v>
      </c>
      <c r="G80" s="661">
        <f t="shared" si="0"/>
        <v>48060.7</v>
      </c>
      <c r="H80" s="661">
        <f t="shared" si="0"/>
        <v>50277</v>
      </c>
      <c r="I80" s="661">
        <f t="shared" si="0"/>
        <v>50574</v>
      </c>
      <c r="J80" s="661">
        <f t="shared" si="0"/>
        <v>48429</v>
      </c>
      <c r="K80" s="661">
        <f t="shared" si="0"/>
        <v>50449</v>
      </c>
      <c r="L80" s="660">
        <f>SUM(L79,L67)</f>
        <v>50243</v>
      </c>
    </row>
    <row r="81" spans="1:13">
      <c r="A81" s="653" t="s">
        <v>431</v>
      </c>
      <c r="B81" s="653">
        <v>1</v>
      </c>
      <c r="C81" s="654">
        <v>1</v>
      </c>
      <c r="D81" s="654">
        <v>1</v>
      </c>
      <c r="E81" s="654">
        <v>1</v>
      </c>
      <c r="F81" s="654">
        <v>1</v>
      </c>
      <c r="G81" s="654">
        <v>1</v>
      </c>
      <c r="H81" s="654">
        <v>1</v>
      </c>
      <c r="I81" s="654">
        <v>1</v>
      </c>
      <c r="J81" s="654">
        <v>1</v>
      </c>
      <c r="K81" s="654">
        <v>1</v>
      </c>
      <c r="L81" s="658" t="s">
        <v>430</v>
      </c>
      <c r="M81" s="653" t="s">
        <v>430</v>
      </c>
    </row>
    <row r="82" spans="1:13">
      <c r="A82" s="653" t="s">
        <v>429</v>
      </c>
      <c r="B82" s="653">
        <v>178833278</v>
      </c>
      <c r="C82" s="654">
        <v>180131238</v>
      </c>
      <c r="D82" s="654">
        <v>180296834</v>
      </c>
      <c r="E82" s="654">
        <v>195803824</v>
      </c>
      <c r="F82" s="654">
        <v>195803824</v>
      </c>
      <c r="G82" s="654">
        <v>210432298</v>
      </c>
      <c r="H82" s="654">
        <v>411276940</v>
      </c>
      <c r="I82" s="654">
        <v>374649923</v>
      </c>
      <c r="J82" s="654">
        <v>371980710</v>
      </c>
      <c r="K82" s="654">
        <v>371980460</v>
      </c>
    </row>
    <row r="83" spans="1:13">
      <c r="A83" s="653" t="s">
        <v>428</v>
      </c>
      <c r="B83" s="653">
        <v>600000000</v>
      </c>
      <c r="C83" s="654">
        <v>600000000</v>
      </c>
      <c r="D83" s="654">
        <v>600000000</v>
      </c>
      <c r="E83" s="654">
        <v>600000000</v>
      </c>
      <c r="G83" s="654">
        <v>600000000</v>
      </c>
      <c r="H83" s="654">
        <v>1200000000</v>
      </c>
      <c r="I83" s="654">
        <v>1200000000</v>
      </c>
      <c r="K83" s="654">
        <v>1200000000</v>
      </c>
    </row>
    <row r="84" spans="1:13">
      <c r="A84" s="653" t="s">
        <v>427</v>
      </c>
      <c r="B84" s="653">
        <v>3914105</v>
      </c>
      <c r="C84" s="654">
        <v>10059857</v>
      </c>
      <c r="D84" s="654">
        <v>9095162</v>
      </c>
      <c r="E84" s="654">
        <v>7840448</v>
      </c>
      <c r="F84" s="654">
        <v>3127282</v>
      </c>
      <c r="G84" s="654">
        <v>1393900</v>
      </c>
      <c r="J84" s="654">
        <v>19726097</v>
      </c>
      <c r="K84" s="654">
        <v>39972796</v>
      </c>
    </row>
    <row r="85" spans="1:13" s="656" customFormat="1">
      <c r="C85" s="657">
        <f>C82-C84-SUM(C264:C265)</f>
        <v>170071381</v>
      </c>
      <c r="D85" s="657"/>
      <c r="E85" s="657"/>
      <c r="F85" s="657"/>
      <c r="G85" s="657"/>
      <c r="H85" s="657"/>
      <c r="I85" s="657"/>
      <c r="J85" s="657"/>
      <c r="K85" s="657"/>
    </row>
    <row r="86" spans="1:13">
      <c r="A86" s="653" t="s">
        <v>426</v>
      </c>
    </row>
    <row r="87" spans="1:13">
      <c r="A87" s="653" t="s">
        <v>425</v>
      </c>
      <c r="B87" s="653">
        <v>3641054</v>
      </c>
      <c r="C87" s="654">
        <v>4008152</v>
      </c>
      <c r="D87" s="654">
        <v>4355000</v>
      </c>
      <c r="E87" s="654">
        <v>4666000</v>
      </c>
    </row>
    <row r="88" spans="1:13">
      <c r="A88" s="653" t="s">
        <v>424</v>
      </c>
      <c r="B88" s="653">
        <v>178833278</v>
      </c>
      <c r="C88" s="654">
        <v>180131238</v>
      </c>
      <c r="D88" s="654">
        <v>180296834</v>
      </c>
      <c r="E88" s="654">
        <v>195803824</v>
      </c>
    </row>
    <row r="89" spans="1:13">
      <c r="A89" s="653" t="s">
        <v>423</v>
      </c>
      <c r="B89" s="653">
        <v>3914105</v>
      </c>
      <c r="C89" s="654">
        <v>10059857</v>
      </c>
      <c r="D89" s="654">
        <v>9095162</v>
      </c>
      <c r="E89" s="654">
        <v>7840448</v>
      </c>
    </row>
    <row r="90" spans="1:13">
      <c r="A90" s="653" t="s">
        <v>422</v>
      </c>
      <c r="B90" s="653">
        <v>1</v>
      </c>
      <c r="C90" s="654">
        <v>1</v>
      </c>
      <c r="D90" s="654">
        <v>1</v>
      </c>
      <c r="E90" s="654">
        <v>1</v>
      </c>
      <c r="I90" s="654">
        <v>1</v>
      </c>
      <c r="J90" s="654">
        <v>1</v>
      </c>
      <c r="K90" s="654">
        <v>1</v>
      </c>
    </row>
    <row r="91" spans="1:13">
      <c r="A91" s="653" t="s">
        <v>421</v>
      </c>
      <c r="B91" s="653">
        <v>175231678</v>
      </c>
      <c r="C91" s="654">
        <v>170973722</v>
      </c>
      <c r="D91" s="654">
        <v>171217974</v>
      </c>
      <c r="E91" s="654">
        <v>188701756</v>
      </c>
      <c r="F91" s="654">
        <v>194166186</v>
      </c>
      <c r="G91" s="654">
        <v>207408188</v>
      </c>
      <c r="H91" s="654">
        <v>408589297</v>
      </c>
      <c r="I91" s="654">
        <v>370249648</v>
      </c>
      <c r="J91" s="654">
        <v>352324016</v>
      </c>
      <c r="K91" s="654">
        <v>328574448</v>
      </c>
    </row>
    <row r="92" spans="1:13">
      <c r="A92" s="653" t="s">
        <v>420</v>
      </c>
      <c r="B92" s="653">
        <v>9748.7999999999993</v>
      </c>
      <c r="C92" s="654">
        <v>10051.299999999999</v>
      </c>
      <c r="D92" s="654">
        <v>11009.7</v>
      </c>
      <c r="E92" s="654">
        <v>12641.6</v>
      </c>
      <c r="F92" s="654">
        <v>14521.2</v>
      </c>
      <c r="G92" s="654">
        <v>16808.7</v>
      </c>
      <c r="H92" s="654">
        <v>18713</v>
      </c>
      <c r="I92" s="654">
        <v>19699</v>
      </c>
      <c r="J92" s="654">
        <v>20316</v>
      </c>
      <c r="K92" s="654">
        <v>20155</v>
      </c>
    </row>
    <row r="93" spans="1:13">
      <c r="A93" s="653" t="s">
        <v>416</v>
      </c>
      <c r="B93" s="653">
        <v>9518.7999999999993</v>
      </c>
      <c r="C93" s="654">
        <v>9855.7999999999993</v>
      </c>
      <c r="D93" s="654">
        <v>11799.4</v>
      </c>
      <c r="E93" s="654">
        <v>13038.9</v>
      </c>
      <c r="F93" s="654">
        <v>14848.1</v>
      </c>
      <c r="G93" s="654">
        <v>16971.400000000001</v>
      </c>
      <c r="H93" s="654">
        <v>18417</v>
      </c>
      <c r="I93" s="654">
        <v>19002</v>
      </c>
      <c r="J93" s="654">
        <v>19443</v>
      </c>
      <c r="K93" s="654">
        <v>19393</v>
      </c>
    </row>
    <row r="94" spans="1:13">
      <c r="A94" s="653" t="s">
        <v>419</v>
      </c>
      <c r="B94" s="653">
        <v>9518.7999999999993</v>
      </c>
      <c r="C94" s="654">
        <v>9855.7999999999993</v>
      </c>
      <c r="D94" s="654">
        <v>11799.4</v>
      </c>
      <c r="E94" s="654">
        <v>13038.9</v>
      </c>
      <c r="F94" s="654">
        <v>14848.1</v>
      </c>
      <c r="G94" s="654">
        <v>16971.400000000001</v>
      </c>
      <c r="H94" s="654">
        <v>18417</v>
      </c>
      <c r="I94" s="654">
        <v>19002</v>
      </c>
      <c r="J94" s="654">
        <v>19443</v>
      </c>
      <c r="K94" s="654">
        <v>19393</v>
      </c>
    </row>
    <row r="95" spans="1:13">
      <c r="A95" s="653" t="s">
        <v>418</v>
      </c>
      <c r="B95" s="653">
        <v>8516.5</v>
      </c>
      <c r="C95" s="654">
        <v>9094.5</v>
      </c>
      <c r="D95" s="654">
        <v>10550.7</v>
      </c>
      <c r="E95" s="654">
        <v>12143.3</v>
      </c>
      <c r="F95" s="654">
        <v>13633.6</v>
      </c>
      <c r="G95" s="654">
        <v>15314.9</v>
      </c>
      <c r="H95" s="654">
        <v>17048</v>
      </c>
      <c r="I95" s="654">
        <v>17861</v>
      </c>
      <c r="J95" s="654">
        <v>18215</v>
      </c>
      <c r="K95" s="654">
        <v>18619</v>
      </c>
    </row>
    <row r="96" spans="1:13">
      <c r="A96" s="653" t="s">
        <v>417</v>
      </c>
      <c r="B96" s="653">
        <v>7564.8</v>
      </c>
      <c r="C96" s="654">
        <v>8058</v>
      </c>
      <c r="D96" s="654">
        <v>9652.9</v>
      </c>
      <c r="E96" s="654">
        <v>10761.5</v>
      </c>
      <c r="F96" s="654">
        <v>12642.2</v>
      </c>
      <c r="G96" s="654">
        <v>14407.2</v>
      </c>
      <c r="H96" s="654">
        <v>15667</v>
      </c>
      <c r="I96" s="654">
        <v>16725</v>
      </c>
      <c r="J96" s="654">
        <v>17298</v>
      </c>
      <c r="K96" s="654">
        <v>17571</v>
      </c>
    </row>
    <row r="97" spans="1:11">
      <c r="A97" s="653" t="s">
        <v>413</v>
      </c>
      <c r="B97" s="653">
        <v>6719.4</v>
      </c>
      <c r="C97" s="654">
        <v>7145</v>
      </c>
      <c r="D97" s="654">
        <v>8527.1</v>
      </c>
      <c r="E97" s="654">
        <v>9739.7000000000007</v>
      </c>
      <c r="F97" s="654">
        <v>11149.9</v>
      </c>
      <c r="G97" s="654">
        <v>13245.8</v>
      </c>
      <c r="H97" s="654">
        <v>14842</v>
      </c>
      <c r="I97" s="654">
        <v>15584</v>
      </c>
      <c r="J97" s="654">
        <v>16526</v>
      </c>
      <c r="K97" s="654">
        <v>16884</v>
      </c>
    </row>
    <row r="98" spans="1:11">
      <c r="A98" s="653" t="s">
        <v>412</v>
      </c>
      <c r="B98" s="653">
        <v>6692.1</v>
      </c>
      <c r="C98" s="654">
        <v>6409.4</v>
      </c>
      <c r="D98" s="654">
        <v>7570.7</v>
      </c>
      <c r="E98" s="654">
        <v>8655.7000000000007</v>
      </c>
      <c r="F98" s="654">
        <v>9998.7000000000007</v>
      </c>
      <c r="G98" s="654">
        <v>11605</v>
      </c>
      <c r="H98" s="654">
        <v>13676</v>
      </c>
      <c r="I98" s="654">
        <v>14907</v>
      </c>
      <c r="J98" s="654">
        <v>15657</v>
      </c>
      <c r="K98" s="654">
        <v>16411</v>
      </c>
    </row>
    <row r="99" spans="1:11">
      <c r="A99" s="653" t="s">
        <v>411</v>
      </c>
      <c r="B99" s="653">
        <v>6191.4</v>
      </c>
      <c r="C99" s="654">
        <v>6476.7</v>
      </c>
      <c r="D99" s="654">
        <v>6886.9</v>
      </c>
      <c r="E99" s="654">
        <v>7693.7</v>
      </c>
      <c r="F99" s="654">
        <v>8844.2999999999993</v>
      </c>
      <c r="G99" s="654">
        <v>10373.200000000001</v>
      </c>
      <c r="H99" s="654">
        <v>11936</v>
      </c>
      <c r="I99" s="654">
        <v>13812</v>
      </c>
      <c r="J99" s="654">
        <v>15064</v>
      </c>
      <c r="K99" s="654">
        <v>15798</v>
      </c>
    </row>
    <row r="100" spans="1:11">
      <c r="A100" s="653" t="s">
        <v>410</v>
      </c>
      <c r="B100" s="653">
        <v>5751.4</v>
      </c>
      <c r="C100" s="654">
        <v>6044.5</v>
      </c>
      <c r="D100" s="654">
        <v>7035.9</v>
      </c>
      <c r="E100" s="654">
        <v>7051.5</v>
      </c>
      <c r="F100" s="654">
        <v>7821.8</v>
      </c>
      <c r="G100" s="654">
        <v>9118.9</v>
      </c>
      <c r="H100" s="654">
        <v>10602</v>
      </c>
      <c r="I100" s="654">
        <v>12019</v>
      </c>
      <c r="J100" s="654">
        <v>13994</v>
      </c>
      <c r="K100" s="654">
        <v>15255</v>
      </c>
    </row>
    <row r="101" spans="1:11">
      <c r="A101" s="653" t="s">
        <v>409</v>
      </c>
      <c r="B101" s="653">
        <v>5500.4</v>
      </c>
      <c r="C101" s="654">
        <v>5692.2</v>
      </c>
      <c r="D101" s="654">
        <v>6655.4</v>
      </c>
      <c r="E101" s="654">
        <v>7253.8</v>
      </c>
      <c r="F101" s="654">
        <v>7197</v>
      </c>
      <c r="G101" s="654">
        <v>8060.9</v>
      </c>
      <c r="H101" s="654">
        <v>9324</v>
      </c>
      <c r="I101" s="654">
        <v>10702</v>
      </c>
      <c r="J101" s="654">
        <v>12170</v>
      </c>
      <c r="K101" s="654">
        <v>14218</v>
      </c>
    </row>
    <row r="102" spans="1:11">
      <c r="A102" s="653" t="s">
        <v>408</v>
      </c>
      <c r="B102" s="653">
        <v>5169</v>
      </c>
      <c r="C102" s="654">
        <v>5467.8</v>
      </c>
      <c r="D102" s="654">
        <v>6346.4</v>
      </c>
      <c r="E102" s="654">
        <v>6870.1</v>
      </c>
      <c r="F102" s="654">
        <v>7422.9</v>
      </c>
      <c r="G102" s="654">
        <v>7411.4</v>
      </c>
      <c r="H102" s="654">
        <v>8247</v>
      </c>
      <c r="I102" s="654">
        <v>9434</v>
      </c>
      <c r="J102" s="654">
        <v>10828</v>
      </c>
      <c r="K102" s="654">
        <v>12364</v>
      </c>
    </row>
    <row r="103" spans="1:11">
      <c r="A103" s="653" t="s">
        <v>407</v>
      </c>
      <c r="B103" s="653">
        <v>5036.8999999999996</v>
      </c>
      <c r="C103" s="654">
        <v>5200</v>
      </c>
      <c r="D103" s="654">
        <v>6170.7</v>
      </c>
      <c r="E103" s="654">
        <v>6594.1</v>
      </c>
      <c r="F103" s="654">
        <v>7055.3</v>
      </c>
      <c r="G103" s="654">
        <v>7597.4</v>
      </c>
      <c r="H103" s="654">
        <v>7601</v>
      </c>
      <c r="I103" s="654">
        <v>8383</v>
      </c>
      <c r="J103" s="654">
        <v>9536</v>
      </c>
      <c r="K103" s="654">
        <v>11011</v>
      </c>
    </row>
    <row r="104" spans="1:11">
      <c r="A104" s="653" t="s">
        <v>416</v>
      </c>
      <c r="B104" s="653">
        <v>2482.6999999999998</v>
      </c>
      <c r="C104" s="654">
        <v>2793.7</v>
      </c>
      <c r="D104" s="654">
        <v>3084.5</v>
      </c>
      <c r="E104" s="654">
        <v>3398.8</v>
      </c>
      <c r="F104" s="654">
        <v>3342</v>
      </c>
      <c r="G104" s="654">
        <v>4031.3</v>
      </c>
      <c r="H104" s="654">
        <v>3948</v>
      </c>
      <c r="I104" s="654">
        <v>3873</v>
      </c>
      <c r="J104" s="654">
        <v>4108</v>
      </c>
      <c r="K104" s="654">
        <v>4063</v>
      </c>
    </row>
    <row r="105" spans="1:11">
      <c r="A105" s="653" t="s">
        <v>415</v>
      </c>
      <c r="B105" s="653">
        <v>3707.8</v>
      </c>
      <c r="C105" s="654">
        <v>4079.3</v>
      </c>
      <c r="D105" s="654">
        <v>4668.7</v>
      </c>
      <c r="E105" s="654">
        <v>5354.1</v>
      </c>
      <c r="F105" s="654">
        <v>5671.4</v>
      </c>
      <c r="G105" s="654">
        <v>6094.8</v>
      </c>
      <c r="H105" s="654">
        <v>6594</v>
      </c>
      <c r="I105" s="654">
        <v>6586</v>
      </c>
      <c r="J105" s="654">
        <v>6789</v>
      </c>
      <c r="K105" s="654">
        <v>6565</v>
      </c>
    </row>
    <row r="106" spans="1:11">
      <c r="A106" s="653" t="s">
        <v>414</v>
      </c>
      <c r="B106" s="653">
        <v>4160.6000000000004</v>
      </c>
      <c r="C106" s="654">
        <v>4653.1000000000004</v>
      </c>
      <c r="D106" s="654">
        <v>5285.8</v>
      </c>
      <c r="E106" s="654">
        <v>5981.4</v>
      </c>
      <c r="F106" s="654">
        <v>6931.6</v>
      </c>
      <c r="G106" s="654">
        <v>7753.3</v>
      </c>
      <c r="H106" s="654">
        <v>8039</v>
      </c>
      <c r="I106" s="654">
        <v>8487</v>
      </c>
      <c r="J106" s="654">
        <v>8850</v>
      </c>
      <c r="K106" s="654">
        <v>8554</v>
      </c>
    </row>
    <row r="107" spans="1:11">
      <c r="A107" s="653" t="s">
        <v>413</v>
      </c>
      <c r="B107" s="653">
        <v>4194.8</v>
      </c>
      <c r="C107" s="654">
        <v>4710.8999999999996</v>
      </c>
      <c r="D107" s="654">
        <v>5351.1</v>
      </c>
      <c r="E107" s="654">
        <v>6138.9</v>
      </c>
      <c r="F107" s="654">
        <v>7011.9</v>
      </c>
      <c r="G107" s="654">
        <v>8389.7999999999993</v>
      </c>
      <c r="H107" s="654">
        <v>9147</v>
      </c>
      <c r="I107" s="654">
        <v>9466</v>
      </c>
      <c r="J107" s="654">
        <v>10048</v>
      </c>
      <c r="K107" s="654">
        <v>10089</v>
      </c>
    </row>
    <row r="108" spans="1:11">
      <c r="A108" s="653" t="s">
        <v>412</v>
      </c>
      <c r="B108" s="653">
        <v>4755.3999999999996</v>
      </c>
      <c r="C108" s="654">
        <v>4555.6000000000004</v>
      </c>
      <c r="D108" s="654">
        <v>5132.8999999999996</v>
      </c>
      <c r="E108" s="654">
        <v>5894.3</v>
      </c>
      <c r="F108" s="654">
        <v>6829</v>
      </c>
      <c r="G108" s="654">
        <v>7894.2</v>
      </c>
      <c r="H108" s="654">
        <v>9378</v>
      </c>
      <c r="I108" s="654">
        <v>10250</v>
      </c>
      <c r="J108" s="654">
        <v>10794</v>
      </c>
      <c r="K108" s="654">
        <v>10977</v>
      </c>
    </row>
    <row r="109" spans="1:11">
      <c r="A109" s="653" t="s">
        <v>411</v>
      </c>
      <c r="B109" s="653">
        <v>4683.3</v>
      </c>
      <c r="C109" s="654">
        <v>5010.6000000000004</v>
      </c>
      <c r="D109" s="654">
        <v>4857.2</v>
      </c>
      <c r="E109" s="654">
        <v>5481.1</v>
      </c>
      <c r="F109" s="654">
        <v>6325.5</v>
      </c>
      <c r="G109" s="654">
        <v>7382.1</v>
      </c>
      <c r="H109" s="654">
        <v>8635</v>
      </c>
      <c r="I109" s="654">
        <v>10126</v>
      </c>
      <c r="J109" s="654">
        <v>11353</v>
      </c>
      <c r="K109" s="654">
        <v>11530</v>
      </c>
    </row>
    <row r="110" spans="1:11">
      <c r="A110" s="653" t="s">
        <v>410</v>
      </c>
      <c r="B110" s="653">
        <v>4545.5</v>
      </c>
      <c r="C110" s="654">
        <v>4896.6000000000004</v>
      </c>
      <c r="D110" s="654">
        <v>5251</v>
      </c>
      <c r="E110" s="654">
        <v>5137.3999999999996</v>
      </c>
      <c r="F110" s="654">
        <v>5806.6</v>
      </c>
      <c r="G110" s="654">
        <v>6679.7</v>
      </c>
      <c r="H110" s="654">
        <v>7926</v>
      </c>
      <c r="I110" s="654">
        <v>9159</v>
      </c>
      <c r="J110" s="654">
        <v>10950</v>
      </c>
      <c r="K110" s="654">
        <v>11915</v>
      </c>
    </row>
    <row r="111" spans="1:11">
      <c r="A111" s="653" t="s">
        <v>409</v>
      </c>
      <c r="B111" s="653">
        <v>4468.3</v>
      </c>
      <c r="C111" s="654">
        <v>4738.2</v>
      </c>
      <c r="D111" s="654">
        <v>5068.1000000000004</v>
      </c>
      <c r="E111" s="654">
        <v>5480.9</v>
      </c>
      <c r="F111" s="654">
        <v>5420.3</v>
      </c>
      <c r="G111" s="654">
        <v>6059.6</v>
      </c>
      <c r="H111" s="654">
        <v>7040</v>
      </c>
      <c r="I111" s="654">
        <v>8310</v>
      </c>
      <c r="J111" s="654">
        <v>9714</v>
      </c>
      <c r="K111" s="654">
        <v>11390</v>
      </c>
    </row>
    <row r="112" spans="1:11">
      <c r="A112" s="653" t="s">
        <v>408</v>
      </c>
      <c r="B112" s="653">
        <v>4248.7</v>
      </c>
      <c r="C112" s="654">
        <v>4627.5</v>
      </c>
      <c r="D112" s="654">
        <v>4883.6000000000004</v>
      </c>
      <c r="E112" s="654">
        <v>5234.5</v>
      </c>
      <c r="F112" s="654">
        <v>5735.4</v>
      </c>
      <c r="G112" s="654">
        <v>5640.9</v>
      </c>
      <c r="H112" s="654">
        <v>6335</v>
      </c>
      <c r="I112" s="654">
        <v>7330</v>
      </c>
      <c r="J112" s="654">
        <v>8697</v>
      </c>
      <c r="K112" s="654">
        <v>10046</v>
      </c>
    </row>
    <row r="113" spans="1:11">
      <c r="A113" s="653" t="s">
        <v>407</v>
      </c>
      <c r="B113" s="653">
        <v>4188</v>
      </c>
      <c r="C113" s="654">
        <v>4403.1000000000004</v>
      </c>
      <c r="D113" s="654">
        <v>4748.3999999999996</v>
      </c>
      <c r="E113" s="654">
        <v>5037.8</v>
      </c>
      <c r="F113" s="654">
        <v>5471.5</v>
      </c>
      <c r="G113" s="654">
        <v>5916</v>
      </c>
      <c r="H113" s="654">
        <v>5879</v>
      </c>
      <c r="I113" s="654">
        <v>6599</v>
      </c>
      <c r="J113" s="654">
        <v>7562</v>
      </c>
      <c r="K113" s="654">
        <v>8944</v>
      </c>
    </row>
    <row r="114" spans="1:11">
      <c r="A114" s="653" t="s">
        <v>406</v>
      </c>
      <c r="B114" s="653">
        <v>11904.6</v>
      </c>
      <c r="C114" s="654">
        <v>15514.9</v>
      </c>
      <c r="D114" s="654">
        <v>16713.099999999999</v>
      </c>
      <c r="E114" s="654">
        <v>17947.8</v>
      </c>
      <c r="F114" s="654">
        <v>20291.900000000001</v>
      </c>
      <c r="G114" s="654">
        <v>22481.7</v>
      </c>
      <c r="H114" s="654">
        <v>22293</v>
      </c>
      <c r="I114" s="654">
        <v>22623</v>
      </c>
      <c r="J114" s="654">
        <v>22367</v>
      </c>
      <c r="K114" s="654">
        <v>22839</v>
      </c>
    </row>
    <row r="115" spans="1:11">
      <c r="A115" s="653" t="s">
        <v>405</v>
      </c>
      <c r="B115" s="653">
        <v>1853.3</v>
      </c>
      <c r="C115" s="654">
        <v>4505.2</v>
      </c>
      <c r="D115" s="654">
        <v>4071.5</v>
      </c>
      <c r="E115" s="654">
        <v>3426.6</v>
      </c>
      <c r="F115" s="654">
        <v>3483.2</v>
      </c>
      <c r="G115" s="654">
        <v>3769.2</v>
      </c>
      <c r="H115" s="654">
        <v>2594</v>
      </c>
      <c r="I115" s="654">
        <v>2307</v>
      </c>
      <c r="J115" s="654">
        <v>2212</v>
      </c>
      <c r="K115" s="654">
        <v>2053</v>
      </c>
    </row>
    <row r="116" spans="1:11">
      <c r="A116" s="653" t="s">
        <v>404</v>
      </c>
      <c r="B116" s="653">
        <v>10051.299999999999</v>
      </c>
      <c r="C116" s="654">
        <v>11009.7</v>
      </c>
      <c r="D116" s="654">
        <v>12641.6</v>
      </c>
      <c r="E116" s="654">
        <v>14521.2</v>
      </c>
      <c r="F116" s="654">
        <v>16808.7</v>
      </c>
      <c r="G116" s="654">
        <v>18712.5</v>
      </c>
      <c r="H116" s="654">
        <v>19699</v>
      </c>
      <c r="I116" s="654">
        <v>20316</v>
      </c>
      <c r="J116" s="654">
        <v>20155</v>
      </c>
      <c r="K116" s="654">
        <v>20786</v>
      </c>
    </row>
    <row r="117" spans="1:11">
      <c r="A117" s="653" t="s">
        <v>403</v>
      </c>
      <c r="B117" s="653">
        <v>5.78</v>
      </c>
      <c r="C117" s="654">
        <v>5.71</v>
      </c>
      <c r="D117" s="654">
        <v>5.26</v>
      </c>
      <c r="E117" s="654">
        <v>4.7699999999999996</v>
      </c>
      <c r="F117" s="654">
        <v>4.42</v>
      </c>
      <c r="G117" s="654">
        <v>4.3</v>
      </c>
      <c r="H117" s="654">
        <v>4.34</v>
      </c>
      <c r="I117" s="654">
        <v>4.37</v>
      </c>
      <c r="J117" s="654">
        <v>4.3600000000000003</v>
      </c>
      <c r="K117" s="654">
        <v>4.1900000000000004</v>
      </c>
    </row>
    <row r="118" spans="1:11">
      <c r="A118" s="653" t="s">
        <v>402</v>
      </c>
      <c r="B118" s="653">
        <v>4.83</v>
      </c>
      <c r="C118" s="654">
        <v>4.74</v>
      </c>
      <c r="D118" s="654">
        <v>4.3099999999999996</v>
      </c>
      <c r="E118" s="654">
        <v>3.8</v>
      </c>
      <c r="F118" s="654">
        <v>3.55</v>
      </c>
      <c r="G118" s="654">
        <v>3.45</v>
      </c>
      <c r="H118" s="654">
        <v>3.48</v>
      </c>
      <c r="I118" s="654">
        <v>3.5</v>
      </c>
      <c r="J118" s="654">
        <v>3.49</v>
      </c>
      <c r="K118" s="654">
        <v>3.39</v>
      </c>
    </row>
    <row r="119" spans="1:11">
      <c r="A119" s="653" t="s">
        <v>401</v>
      </c>
      <c r="K119" s="654">
        <v>47.09</v>
      </c>
    </row>
    <row r="120" spans="1:11">
      <c r="A120" s="653" t="s">
        <v>400</v>
      </c>
      <c r="I120" s="654">
        <v>685</v>
      </c>
    </row>
    <row r="121" spans="1:11">
      <c r="A121" s="653" t="s">
        <v>399</v>
      </c>
      <c r="B121" s="653">
        <v>500</v>
      </c>
      <c r="C121" s="654">
        <v>500</v>
      </c>
      <c r="D121" s="654">
        <v>500</v>
      </c>
      <c r="E121" s="654">
        <v>500</v>
      </c>
      <c r="F121" s="654">
        <v>500</v>
      </c>
      <c r="G121" s="654">
        <v>500</v>
      </c>
      <c r="H121" s="654">
        <v>500</v>
      </c>
      <c r="I121" s="654">
        <v>500</v>
      </c>
      <c r="J121" s="654">
        <v>500</v>
      </c>
      <c r="K121" s="654">
        <v>500</v>
      </c>
    </row>
    <row r="122" spans="1:11">
      <c r="A122" s="653" t="s">
        <v>398</v>
      </c>
      <c r="I122" s="654">
        <v>2375</v>
      </c>
      <c r="J122" s="654">
        <v>3300</v>
      </c>
      <c r="K122" s="654">
        <v>3300</v>
      </c>
    </row>
    <row r="123" spans="1:11">
      <c r="A123" s="653" t="s">
        <v>397</v>
      </c>
      <c r="B123" s="653">
        <v>753.8</v>
      </c>
      <c r="C123" s="654">
        <v>1351</v>
      </c>
      <c r="D123" s="654">
        <v>1959.1</v>
      </c>
      <c r="E123" s="654">
        <v>2813.9</v>
      </c>
      <c r="F123" s="654">
        <v>2813.7</v>
      </c>
      <c r="G123" s="654">
        <v>2467.3000000000002</v>
      </c>
      <c r="H123" s="654">
        <v>2466</v>
      </c>
      <c r="I123" s="654">
        <v>3460</v>
      </c>
      <c r="J123" s="654">
        <v>3975</v>
      </c>
      <c r="K123" s="654">
        <v>3975</v>
      </c>
    </row>
    <row r="124" spans="1:11">
      <c r="A124" s="653" t="s">
        <v>396</v>
      </c>
      <c r="E124" s="654">
        <v>269</v>
      </c>
      <c r="F124" s="654">
        <v>570</v>
      </c>
      <c r="G124" s="654">
        <v>226</v>
      </c>
      <c r="H124" s="654">
        <v>895</v>
      </c>
      <c r="I124" s="654">
        <v>5941</v>
      </c>
      <c r="J124" s="654">
        <v>5243</v>
      </c>
      <c r="K124" s="654">
        <v>5341</v>
      </c>
    </row>
    <row r="125" spans="1:11">
      <c r="A125" s="653" t="s">
        <v>232</v>
      </c>
      <c r="E125" s="654">
        <v>563</v>
      </c>
      <c r="F125" s="654">
        <v>1099</v>
      </c>
      <c r="G125" s="654">
        <v>1726</v>
      </c>
      <c r="H125" s="654">
        <v>990</v>
      </c>
      <c r="I125" s="654">
        <v>7500</v>
      </c>
      <c r="J125" s="654">
        <v>7495</v>
      </c>
    </row>
    <row r="126" spans="1:11">
      <c r="A126" s="653" t="s">
        <v>232</v>
      </c>
      <c r="E126" s="654">
        <v>214</v>
      </c>
    </row>
    <row r="127" spans="1:11">
      <c r="A127" s="653" t="s">
        <v>395</v>
      </c>
      <c r="K127" s="654">
        <v>7381</v>
      </c>
    </row>
    <row r="128" spans="1:11">
      <c r="A128" s="653" t="s">
        <v>232</v>
      </c>
      <c r="E128" s="654">
        <v>867</v>
      </c>
      <c r="F128" s="654">
        <v>982</v>
      </c>
      <c r="G128" s="654">
        <v>262</v>
      </c>
      <c r="H128" s="654">
        <v>652</v>
      </c>
      <c r="I128" s="654">
        <v>4903</v>
      </c>
      <c r="J128" s="654">
        <v>4608</v>
      </c>
    </row>
    <row r="129" spans="1:11">
      <c r="A129" s="653" t="s">
        <v>232</v>
      </c>
      <c r="E129" s="654">
        <v>831</v>
      </c>
    </row>
    <row r="130" spans="1:11">
      <c r="A130" s="653" t="s">
        <v>394</v>
      </c>
      <c r="K130" s="654">
        <v>4438</v>
      </c>
    </row>
    <row r="131" spans="1:11">
      <c r="A131" s="653" t="s">
        <v>393</v>
      </c>
      <c r="E131" s="654">
        <v>2069</v>
      </c>
      <c r="F131" s="654">
        <v>1995</v>
      </c>
      <c r="G131" s="654">
        <v>1887</v>
      </c>
      <c r="H131" s="654">
        <v>1401</v>
      </c>
      <c r="I131" s="654">
        <v>12261</v>
      </c>
      <c r="J131" s="654">
        <v>14066</v>
      </c>
      <c r="K131" s="654">
        <v>14209</v>
      </c>
    </row>
    <row r="132" spans="1:11">
      <c r="A132" s="653" t="s">
        <v>392</v>
      </c>
      <c r="E132" s="654">
        <v>4813</v>
      </c>
      <c r="F132" s="654">
        <v>4646</v>
      </c>
      <c r="G132" s="654">
        <v>4101</v>
      </c>
      <c r="H132" s="654">
        <v>3938</v>
      </c>
      <c r="I132" s="654">
        <v>30605</v>
      </c>
      <c r="J132" s="654">
        <v>31412</v>
      </c>
      <c r="K132" s="654">
        <v>31369</v>
      </c>
    </row>
    <row r="133" spans="1:11">
      <c r="A133" s="653" t="s">
        <v>391</v>
      </c>
      <c r="K133" s="654">
        <v>850</v>
      </c>
    </row>
    <row r="134" spans="1:11">
      <c r="A134" s="653" t="s">
        <v>390</v>
      </c>
      <c r="B134" s="653">
        <v>156.33000000000001</v>
      </c>
      <c r="C134" s="654">
        <v>485.43</v>
      </c>
      <c r="D134" s="654">
        <v>549.57000000000005</v>
      </c>
      <c r="E134" s="654">
        <v>68.36</v>
      </c>
      <c r="F134" s="654">
        <v>560.6</v>
      </c>
      <c r="G134" s="654">
        <v>610.67999999999995</v>
      </c>
      <c r="H134" s="654">
        <v>639.46</v>
      </c>
      <c r="I134" s="654">
        <v>338.71</v>
      </c>
      <c r="J134" s="654">
        <v>327.55</v>
      </c>
      <c r="K134" s="654">
        <v>365.78</v>
      </c>
    </row>
    <row r="135" spans="1:11">
      <c r="A135" s="653" t="s">
        <v>389</v>
      </c>
      <c r="B135" s="653">
        <v>11598.15</v>
      </c>
      <c r="C135" s="654">
        <v>11107.65</v>
      </c>
      <c r="D135" s="654">
        <v>12587.1</v>
      </c>
      <c r="E135" s="654">
        <v>15651.5</v>
      </c>
      <c r="F135" s="654">
        <v>19875.2</v>
      </c>
      <c r="G135" s="654">
        <v>22867</v>
      </c>
      <c r="H135" s="654">
        <v>24276.5</v>
      </c>
      <c r="I135" s="654">
        <v>25553</v>
      </c>
      <c r="J135" s="654">
        <v>22659.75</v>
      </c>
      <c r="K135" s="654">
        <v>24419.25</v>
      </c>
    </row>
    <row r="136" spans="1:11">
      <c r="A136" s="653" t="s">
        <v>366</v>
      </c>
      <c r="G136" s="654">
        <v>2758.4</v>
      </c>
      <c r="H136" s="654">
        <v>1911</v>
      </c>
      <c r="I136" s="654">
        <v>705</v>
      </c>
      <c r="J136" s="654">
        <v>626</v>
      </c>
      <c r="K136" s="654">
        <v>758</v>
      </c>
    </row>
    <row r="137" spans="1:11">
      <c r="A137" s="653" t="s">
        <v>388</v>
      </c>
      <c r="B137" s="653">
        <v>526</v>
      </c>
      <c r="C137" s="654">
        <v>639</v>
      </c>
      <c r="D137" s="654">
        <v>749.25</v>
      </c>
      <c r="E137" s="654">
        <v>581.05999999999995</v>
      </c>
      <c r="F137" s="654">
        <v>450.48</v>
      </c>
      <c r="G137" s="654">
        <v>860.4</v>
      </c>
      <c r="H137" s="654">
        <v>1084.75</v>
      </c>
      <c r="I137" s="654">
        <v>5583</v>
      </c>
      <c r="J137" s="654">
        <v>7358.7</v>
      </c>
      <c r="K137" s="654">
        <v>7341.5</v>
      </c>
    </row>
    <row r="138" spans="1:11">
      <c r="A138" s="653" t="s">
        <v>387</v>
      </c>
      <c r="B138" s="653">
        <v>1774.52</v>
      </c>
      <c r="C138" s="654">
        <v>2457.92</v>
      </c>
      <c r="D138" s="654">
        <v>2407.33</v>
      </c>
      <c r="E138" s="654">
        <v>3309.14</v>
      </c>
      <c r="F138" s="654">
        <v>3840.2</v>
      </c>
      <c r="G138" s="654">
        <v>2754.32</v>
      </c>
      <c r="H138" s="654">
        <v>2718.04</v>
      </c>
      <c r="I138" s="654">
        <v>2302</v>
      </c>
      <c r="J138" s="654">
        <v>2333.6999999999998</v>
      </c>
      <c r="K138" s="654">
        <v>4398.5200000000004</v>
      </c>
    </row>
    <row r="139" spans="1:11">
      <c r="A139" s="653" t="s">
        <v>386</v>
      </c>
      <c r="B139" s="653">
        <v>1578</v>
      </c>
      <c r="C139" s="654">
        <v>1491</v>
      </c>
      <c r="D139" s="654">
        <v>2025.75</v>
      </c>
      <c r="E139" s="654">
        <v>2836.94</v>
      </c>
      <c r="F139" s="654">
        <v>3303.52</v>
      </c>
      <c r="G139" s="654">
        <v>3441.6</v>
      </c>
      <c r="H139" s="654">
        <v>3254.25</v>
      </c>
      <c r="I139" s="654">
        <v>95</v>
      </c>
      <c r="J139" s="654">
        <v>75</v>
      </c>
      <c r="K139" s="654">
        <v>52.95</v>
      </c>
    </row>
    <row r="140" spans="1:11">
      <c r="A140" s="653" t="s">
        <v>385</v>
      </c>
      <c r="B140" s="653">
        <v>605.6</v>
      </c>
    </row>
    <row r="141" spans="1:11">
      <c r="A141" s="653" t="s">
        <v>384</v>
      </c>
      <c r="B141" s="653">
        <v>830.6</v>
      </c>
    </row>
    <row r="142" spans="1:11">
      <c r="A142" s="653" t="s">
        <v>383</v>
      </c>
      <c r="B142" s="653">
        <v>14068.3</v>
      </c>
    </row>
    <row r="143" spans="1:11">
      <c r="A143" s="653" t="s">
        <v>344</v>
      </c>
      <c r="B143" s="653">
        <v>1564.7</v>
      </c>
    </row>
    <row r="144" spans="1:11">
      <c r="A144" s="653" t="s">
        <v>375</v>
      </c>
      <c r="C144" s="654">
        <v>956.8</v>
      </c>
      <c r="D144" s="654">
        <v>1756.7</v>
      </c>
      <c r="G144" s="654">
        <v>1898.5</v>
      </c>
      <c r="J144" s="654">
        <v>2478</v>
      </c>
    </row>
    <row r="145" spans="1:11">
      <c r="A145" s="653" t="s">
        <v>382</v>
      </c>
      <c r="C145" s="654">
        <v>710.4</v>
      </c>
    </row>
    <row r="146" spans="1:11">
      <c r="A146" s="653" t="s">
        <v>378</v>
      </c>
      <c r="C146" s="654">
        <v>14898.2</v>
      </c>
      <c r="D146" s="654">
        <v>17468.599999999999</v>
      </c>
    </row>
    <row r="147" spans="1:11">
      <c r="A147" s="653" t="s">
        <v>343</v>
      </c>
      <c r="C147" s="654">
        <v>1282.5</v>
      </c>
      <c r="D147" s="654">
        <v>850.7</v>
      </c>
    </row>
    <row r="148" spans="1:11">
      <c r="A148" s="653" t="s">
        <v>381</v>
      </c>
      <c r="D148" s="654">
        <v>992.2</v>
      </c>
    </row>
    <row r="149" spans="1:11">
      <c r="A149" s="653" t="s">
        <v>378</v>
      </c>
      <c r="E149" s="654">
        <v>21944.7</v>
      </c>
      <c r="F149" s="654">
        <v>27692.1</v>
      </c>
      <c r="H149" s="654">
        <v>31831</v>
      </c>
      <c r="I149" s="654">
        <v>33871</v>
      </c>
    </row>
    <row r="150" spans="1:11">
      <c r="A150" s="653" t="s">
        <v>343</v>
      </c>
      <c r="E150" s="654">
        <v>502.2</v>
      </c>
      <c r="F150" s="654">
        <v>338.3</v>
      </c>
      <c r="H150" s="654">
        <v>142</v>
      </c>
    </row>
    <row r="151" spans="1:11">
      <c r="A151" s="653" t="s">
        <v>375</v>
      </c>
      <c r="E151" s="654">
        <v>2695.9</v>
      </c>
      <c r="F151" s="654">
        <v>1307.5</v>
      </c>
      <c r="H151" s="654">
        <v>2254</v>
      </c>
    </row>
    <row r="152" spans="1:11">
      <c r="A152" s="653" t="s">
        <v>380</v>
      </c>
      <c r="E152" s="654">
        <v>1514.4</v>
      </c>
    </row>
    <row r="153" spans="1:11">
      <c r="A153" s="653" t="s">
        <v>379</v>
      </c>
      <c r="F153" s="654">
        <v>1841.3</v>
      </c>
    </row>
    <row r="154" spans="1:11">
      <c r="A154" s="653" t="s">
        <v>378</v>
      </c>
      <c r="G154" s="654">
        <v>30317.9</v>
      </c>
    </row>
    <row r="155" spans="1:11">
      <c r="A155" s="653" t="s">
        <v>343</v>
      </c>
      <c r="G155" s="654">
        <v>215.8</v>
      </c>
    </row>
    <row r="156" spans="1:11">
      <c r="A156" s="653" t="s">
        <v>377</v>
      </c>
      <c r="G156" s="654">
        <v>2212.4</v>
      </c>
    </row>
    <row r="157" spans="1:11">
      <c r="A157" s="653" t="s">
        <v>376</v>
      </c>
      <c r="H157" s="654">
        <v>1957</v>
      </c>
    </row>
    <row r="158" spans="1:11">
      <c r="A158" s="653" t="s">
        <v>372</v>
      </c>
      <c r="H158" s="654">
        <v>1516</v>
      </c>
    </row>
    <row r="159" spans="1:11">
      <c r="A159" s="653" t="s">
        <v>375</v>
      </c>
      <c r="I159" s="654">
        <v>1839</v>
      </c>
      <c r="K159" s="654">
        <v>1918</v>
      </c>
    </row>
    <row r="160" spans="1:11">
      <c r="A160" s="653" t="s">
        <v>374</v>
      </c>
      <c r="I160" s="654">
        <v>2320</v>
      </c>
    </row>
    <row r="161" spans="1:11">
      <c r="A161" s="653" t="s">
        <v>372</v>
      </c>
      <c r="I161" s="654">
        <v>2051</v>
      </c>
    </row>
    <row r="162" spans="1:11">
      <c r="A162" s="653" t="s">
        <v>361</v>
      </c>
      <c r="I162" s="654">
        <v>4750</v>
      </c>
    </row>
    <row r="163" spans="1:11">
      <c r="A163" s="653" t="s">
        <v>373</v>
      </c>
      <c r="J163" s="654">
        <v>1479</v>
      </c>
    </row>
    <row r="164" spans="1:11">
      <c r="A164" s="653" t="s">
        <v>372</v>
      </c>
      <c r="J164" s="654">
        <v>2026</v>
      </c>
      <c r="K164" s="654">
        <v>2075</v>
      </c>
    </row>
    <row r="165" spans="1:11">
      <c r="A165" s="653" t="s">
        <v>340</v>
      </c>
      <c r="J165" s="654">
        <v>18345</v>
      </c>
    </row>
    <row r="166" spans="1:11">
      <c r="A166" s="653" t="s">
        <v>371</v>
      </c>
      <c r="J166" s="654">
        <v>14410</v>
      </c>
    </row>
    <row r="167" spans="1:11">
      <c r="A167" s="653" t="s">
        <v>370</v>
      </c>
      <c r="K167" s="654">
        <v>36578</v>
      </c>
    </row>
    <row r="168" spans="1:11">
      <c r="A168" s="653" t="s">
        <v>316</v>
      </c>
      <c r="K168" s="654">
        <v>1433</v>
      </c>
    </row>
    <row r="169" spans="1:11">
      <c r="A169" s="653" t="s">
        <v>342</v>
      </c>
      <c r="B169" s="653">
        <v>10.8</v>
      </c>
    </row>
    <row r="170" spans="1:11">
      <c r="A170" s="653" t="s">
        <v>342</v>
      </c>
      <c r="B170" s="653">
        <v>337.5</v>
      </c>
    </row>
    <row r="171" spans="1:11">
      <c r="A171" s="653" t="s">
        <v>369</v>
      </c>
      <c r="B171" s="653">
        <v>5.0999999999999996</v>
      </c>
    </row>
    <row r="172" spans="1:11">
      <c r="A172" s="653" t="s">
        <v>369</v>
      </c>
      <c r="B172" s="653">
        <v>32.299999999999997</v>
      </c>
    </row>
    <row r="173" spans="1:11">
      <c r="A173" s="653" t="s">
        <v>341</v>
      </c>
      <c r="B173" s="653">
        <v>0.9</v>
      </c>
    </row>
    <row r="174" spans="1:11">
      <c r="A174" s="653" t="s">
        <v>340</v>
      </c>
      <c r="C174" s="654">
        <v>14.9</v>
      </c>
      <c r="D174" s="654">
        <v>3.9</v>
      </c>
      <c r="E174" s="654">
        <v>15.9</v>
      </c>
      <c r="F174" s="654">
        <v>21.5</v>
      </c>
      <c r="G174" s="654">
        <v>61</v>
      </c>
      <c r="H174" s="654">
        <v>42</v>
      </c>
      <c r="I174" s="654">
        <v>34</v>
      </c>
      <c r="J174" s="654">
        <v>405</v>
      </c>
      <c r="K174" s="654">
        <v>66</v>
      </c>
    </row>
    <row r="175" spans="1:11">
      <c r="A175" s="653" t="s">
        <v>340</v>
      </c>
      <c r="C175" s="654">
        <v>334</v>
      </c>
      <c r="D175" s="654">
        <v>637.6</v>
      </c>
      <c r="E175" s="654">
        <v>660.2</v>
      </c>
      <c r="F175" s="654">
        <v>570.20000000000005</v>
      </c>
      <c r="G175" s="654">
        <v>362</v>
      </c>
      <c r="H175" s="654">
        <v>341</v>
      </c>
      <c r="I175" s="654">
        <v>385</v>
      </c>
      <c r="J175" s="654">
        <v>451</v>
      </c>
      <c r="K175" s="654">
        <v>933</v>
      </c>
    </row>
    <row r="176" spans="1:11">
      <c r="A176" s="653" t="s">
        <v>368</v>
      </c>
      <c r="C176" s="654">
        <v>0.6</v>
      </c>
      <c r="D176" s="654">
        <v>8.1999999999999993</v>
      </c>
      <c r="E176" s="654">
        <v>21</v>
      </c>
      <c r="F176" s="654">
        <v>7.2</v>
      </c>
      <c r="G176" s="654">
        <v>16.7</v>
      </c>
      <c r="H176" s="654">
        <v>57</v>
      </c>
      <c r="I176" s="654">
        <v>63</v>
      </c>
      <c r="J176" s="654">
        <v>42</v>
      </c>
    </row>
    <row r="177" spans="1:11">
      <c r="A177" s="653" t="s">
        <v>368</v>
      </c>
      <c r="C177" s="654">
        <v>44.3</v>
      </c>
      <c r="D177" s="654">
        <v>100.5</v>
      </c>
      <c r="E177" s="654">
        <v>87.9</v>
      </c>
      <c r="F177" s="654">
        <v>125.8</v>
      </c>
      <c r="G177" s="654">
        <v>107.1</v>
      </c>
      <c r="H177" s="654">
        <v>39</v>
      </c>
      <c r="I177" s="654">
        <v>66</v>
      </c>
      <c r="J177" s="654">
        <v>340</v>
      </c>
    </row>
    <row r="178" spans="1:11">
      <c r="A178" s="653" t="s">
        <v>339</v>
      </c>
      <c r="C178" s="654">
        <v>1.1000000000000001</v>
      </c>
      <c r="D178" s="654">
        <v>0.1</v>
      </c>
      <c r="E178" s="654">
        <v>0.6</v>
      </c>
      <c r="F178" s="654">
        <v>0.7</v>
      </c>
      <c r="G178" s="654">
        <v>0.4</v>
      </c>
    </row>
    <row r="179" spans="1:11">
      <c r="A179" s="653" t="s">
        <v>363</v>
      </c>
      <c r="K179" s="654">
        <v>11</v>
      </c>
    </row>
    <row r="180" spans="1:11">
      <c r="A180" s="653" t="s">
        <v>363</v>
      </c>
      <c r="K180" s="654">
        <v>221</v>
      </c>
    </row>
    <row r="181" spans="1:11">
      <c r="A181" s="653" t="s">
        <v>316</v>
      </c>
      <c r="K181" s="654">
        <v>43</v>
      </c>
    </row>
    <row r="182" spans="1:11">
      <c r="A182" s="653" t="s">
        <v>316</v>
      </c>
      <c r="K182" s="654">
        <v>261</v>
      </c>
    </row>
    <row r="183" spans="1:11">
      <c r="A183" s="653" t="s">
        <v>340</v>
      </c>
      <c r="G183" s="654">
        <v>15749.5</v>
      </c>
      <c r="H183" s="654">
        <v>17613</v>
      </c>
      <c r="I183" s="654">
        <v>18559</v>
      </c>
      <c r="J183" s="654">
        <v>18345</v>
      </c>
      <c r="K183" s="654">
        <v>19587</v>
      </c>
    </row>
    <row r="184" spans="1:11">
      <c r="A184" s="653" t="s">
        <v>367</v>
      </c>
      <c r="B184" s="653">
        <v>0.3</v>
      </c>
    </row>
    <row r="185" spans="1:11">
      <c r="A185" s="653" t="s">
        <v>367</v>
      </c>
      <c r="B185" s="653">
        <v>14.9</v>
      </c>
    </row>
    <row r="186" spans="1:11">
      <c r="A186" s="653" t="s">
        <v>366</v>
      </c>
      <c r="C186" s="654">
        <v>24.9</v>
      </c>
      <c r="D186" s="654">
        <v>59.1</v>
      </c>
      <c r="E186" s="654">
        <v>6.3</v>
      </c>
      <c r="F186" s="654">
        <v>13.6</v>
      </c>
      <c r="G186" s="654">
        <v>17.2</v>
      </c>
      <c r="H186" s="654">
        <v>26</v>
      </c>
      <c r="I186" s="654">
        <v>2</v>
      </c>
      <c r="J186" s="654">
        <v>4</v>
      </c>
      <c r="K186" s="654">
        <v>10</v>
      </c>
    </row>
    <row r="187" spans="1:11">
      <c r="A187" s="653" t="s">
        <v>366</v>
      </c>
      <c r="E187" s="654">
        <v>29.6</v>
      </c>
      <c r="F187" s="654">
        <v>13.6</v>
      </c>
      <c r="G187" s="654">
        <v>5.7</v>
      </c>
      <c r="H187" s="654">
        <v>1</v>
      </c>
      <c r="I187" s="654">
        <v>36</v>
      </c>
      <c r="J187" s="654">
        <v>43</v>
      </c>
      <c r="K187" s="654">
        <v>12</v>
      </c>
    </row>
    <row r="188" spans="1:11">
      <c r="A188" s="653" t="s">
        <v>366</v>
      </c>
      <c r="G188" s="654">
        <v>-2758.4</v>
      </c>
      <c r="H188" s="654">
        <v>-1911</v>
      </c>
      <c r="I188" s="654">
        <v>-705</v>
      </c>
      <c r="J188" s="654">
        <v>-626</v>
      </c>
      <c r="K188" s="654">
        <v>-758</v>
      </c>
    </row>
    <row r="189" spans="1:11">
      <c r="A189" s="653" t="s">
        <v>366</v>
      </c>
      <c r="B189" s="653">
        <v>627.9</v>
      </c>
      <c r="C189" s="654">
        <v>684.9</v>
      </c>
      <c r="D189" s="654">
        <v>1243.2</v>
      </c>
      <c r="E189" s="654">
        <v>2065</v>
      </c>
      <c r="F189" s="654">
        <v>2804.7</v>
      </c>
      <c r="G189" s="654">
        <v>2758.4</v>
      </c>
      <c r="H189" s="654">
        <v>1911</v>
      </c>
      <c r="I189" s="654">
        <v>705</v>
      </c>
      <c r="J189" s="654">
        <v>626</v>
      </c>
      <c r="K189" s="654">
        <v>758</v>
      </c>
    </row>
    <row r="190" spans="1:11">
      <c r="A190" s="653" t="s">
        <v>365</v>
      </c>
      <c r="B190" s="653">
        <v>23.9</v>
      </c>
    </row>
    <row r="191" spans="1:11">
      <c r="A191" s="653" t="s">
        <v>365</v>
      </c>
      <c r="B191" s="653">
        <v>14.3</v>
      </c>
    </row>
    <row r="192" spans="1:11">
      <c r="A192" s="653" t="s">
        <v>364</v>
      </c>
      <c r="C192" s="654">
        <v>28.7</v>
      </c>
      <c r="D192" s="654">
        <v>42.6</v>
      </c>
      <c r="E192" s="654">
        <v>6</v>
      </c>
      <c r="F192" s="654">
        <v>11.4</v>
      </c>
      <c r="G192" s="654">
        <v>34.6</v>
      </c>
      <c r="H192" s="654">
        <v>24</v>
      </c>
      <c r="I192" s="654">
        <v>22</v>
      </c>
      <c r="J192" s="654">
        <v>143</v>
      </c>
      <c r="K192" s="654">
        <v>24</v>
      </c>
    </row>
    <row r="193" spans="1:11">
      <c r="A193" s="653" t="s">
        <v>364</v>
      </c>
      <c r="C193" s="654">
        <v>57.5</v>
      </c>
      <c r="D193" s="654">
        <v>108</v>
      </c>
      <c r="E193" s="654">
        <v>140.5</v>
      </c>
      <c r="F193" s="654">
        <v>107.3</v>
      </c>
      <c r="G193" s="654">
        <v>56.4</v>
      </c>
      <c r="H193" s="654">
        <v>42</v>
      </c>
      <c r="I193" s="654">
        <v>42</v>
      </c>
      <c r="J193" s="654">
        <v>39</v>
      </c>
      <c r="K193" s="654">
        <v>327</v>
      </c>
    </row>
    <row r="194" spans="1:11">
      <c r="A194" s="653" t="s">
        <v>364</v>
      </c>
      <c r="B194" s="653">
        <v>1555.1</v>
      </c>
      <c r="C194" s="654">
        <v>2038.2</v>
      </c>
      <c r="D194" s="654">
        <v>2043.7</v>
      </c>
      <c r="E194" s="654">
        <v>2104.6</v>
      </c>
      <c r="F194" s="654">
        <v>2533.8000000000002</v>
      </c>
      <c r="G194" s="654">
        <v>2630.1</v>
      </c>
      <c r="H194" s="654">
        <v>2397</v>
      </c>
      <c r="I194" s="654">
        <v>2908</v>
      </c>
      <c r="J194" s="654">
        <v>3057</v>
      </c>
      <c r="K194" s="654">
        <v>6590</v>
      </c>
    </row>
    <row r="195" spans="1:11">
      <c r="A195" s="653" t="s">
        <v>363</v>
      </c>
      <c r="B195" s="653">
        <v>1294.3</v>
      </c>
      <c r="C195" s="654">
        <v>1625.6</v>
      </c>
      <c r="D195" s="654">
        <v>2277.8000000000002</v>
      </c>
      <c r="E195" s="654">
        <v>3147.4</v>
      </c>
      <c r="F195" s="654">
        <v>4472.2</v>
      </c>
      <c r="G195" s="654">
        <v>4837.3999999999996</v>
      </c>
      <c r="H195" s="654">
        <v>5571</v>
      </c>
      <c r="I195" s="654">
        <v>6949</v>
      </c>
      <c r="J195" s="654">
        <v>6962</v>
      </c>
      <c r="K195" s="654">
        <v>6113</v>
      </c>
    </row>
    <row r="196" spans="1:11">
      <c r="A196" s="653" t="s">
        <v>362</v>
      </c>
      <c r="B196" s="653">
        <v>29.3</v>
      </c>
    </row>
    <row r="197" spans="1:11">
      <c r="A197" s="653" t="s">
        <v>362</v>
      </c>
      <c r="B197" s="653">
        <v>19.2</v>
      </c>
    </row>
    <row r="198" spans="1:11">
      <c r="A198" s="653" t="s">
        <v>361</v>
      </c>
      <c r="C198" s="654">
        <v>17</v>
      </c>
      <c r="D198" s="654">
        <v>23.7</v>
      </c>
      <c r="E198" s="654">
        <v>32.700000000000003</v>
      </c>
      <c r="F198" s="654">
        <v>28.6</v>
      </c>
      <c r="G198" s="654">
        <v>81.5</v>
      </c>
      <c r="H198" s="654">
        <v>21</v>
      </c>
      <c r="I198" s="654">
        <v>42</v>
      </c>
      <c r="J198" s="654">
        <v>467</v>
      </c>
    </row>
    <row r="199" spans="1:11">
      <c r="A199" s="653" t="s">
        <v>361</v>
      </c>
      <c r="C199" s="654">
        <v>35.6</v>
      </c>
      <c r="D199" s="654">
        <v>80</v>
      </c>
      <c r="E199" s="654">
        <v>66.3</v>
      </c>
      <c r="F199" s="654">
        <v>71.599999999999994</v>
      </c>
      <c r="G199" s="654">
        <v>33.799999999999997</v>
      </c>
      <c r="H199" s="654">
        <v>88</v>
      </c>
      <c r="I199" s="654">
        <v>31</v>
      </c>
      <c r="J199" s="654">
        <v>52</v>
      </c>
    </row>
    <row r="200" spans="1:11">
      <c r="A200" s="653" t="s">
        <v>360</v>
      </c>
      <c r="K200" s="654">
        <v>20</v>
      </c>
    </row>
    <row r="201" spans="1:11">
      <c r="A201" s="653" t="s">
        <v>360</v>
      </c>
      <c r="K201" s="654">
        <v>69</v>
      </c>
    </row>
    <row r="202" spans="1:11">
      <c r="A202" s="653" t="s">
        <v>359</v>
      </c>
      <c r="K202" s="654">
        <v>49</v>
      </c>
    </row>
    <row r="203" spans="1:11">
      <c r="A203" s="653" t="s">
        <v>359</v>
      </c>
      <c r="K203" s="654">
        <v>6</v>
      </c>
    </row>
    <row r="204" spans="1:11">
      <c r="A204" s="653" t="s">
        <v>360</v>
      </c>
      <c r="B204" s="653">
        <v>1051.75</v>
      </c>
      <c r="C204" s="654">
        <v>1065.2</v>
      </c>
      <c r="D204" s="654">
        <v>1387.7</v>
      </c>
      <c r="E204" s="654">
        <v>2324.3000000000002</v>
      </c>
      <c r="F204" s="654">
        <v>2853.268</v>
      </c>
      <c r="G204" s="654">
        <v>3140.752</v>
      </c>
      <c r="H204" s="654">
        <v>2907.13</v>
      </c>
      <c r="I204" s="654">
        <v>2850</v>
      </c>
      <c r="J204" s="654">
        <v>2447</v>
      </c>
      <c r="K204" s="654">
        <v>1899</v>
      </c>
    </row>
    <row r="205" spans="1:11">
      <c r="A205" s="653" t="s">
        <v>359</v>
      </c>
      <c r="B205" s="653">
        <v>1051.75</v>
      </c>
      <c r="C205" s="654">
        <v>1065.2</v>
      </c>
      <c r="D205" s="654">
        <v>1387.7</v>
      </c>
      <c r="E205" s="654">
        <v>1093.8</v>
      </c>
      <c r="F205" s="654">
        <v>901.03200000000004</v>
      </c>
      <c r="G205" s="654">
        <v>1161.6479999999999</v>
      </c>
      <c r="H205" s="654">
        <v>1431.87</v>
      </c>
      <c r="I205" s="654">
        <v>1900</v>
      </c>
      <c r="J205" s="654">
        <v>1318</v>
      </c>
      <c r="K205" s="654">
        <v>1631</v>
      </c>
    </row>
    <row r="206" spans="1:11">
      <c r="A206" s="653" t="s">
        <v>358</v>
      </c>
      <c r="B206" s="653">
        <v>0.4</v>
      </c>
      <c r="C206" s="654">
        <v>100.4</v>
      </c>
      <c r="E206" s="654">
        <v>300.60000000000002</v>
      </c>
      <c r="F206" s="654">
        <v>0.6</v>
      </c>
      <c r="G206" s="654">
        <v>675</v>
      </c>
      <c r="H206" s="654">
        <v>685</v>
      </c>
      <c r="K206" s="654">
        <v>400</v>
      </c>
    </row>
    <row r="207" spans="1:11">
      <c r="A207" s="653" t="s">
        <v>357</v>
      </c>
      <c r="B207" s="653">
        <v>0.4</v>
      </c>
      <c r="C207" s="654">
        <v>300.60000000000002</v>
      </c>
      <c r="E207" s="654">
        <v>675.7</v>
      </c>
      <c r="F207" s="654">
        <v>685.7</v>
      </c>
      <c r="I207" s="654">
        <v>400</v>
      </c>
      <c r="K207" s="654">
        <v>275</v>
      </c>
    </row>
    <row r="208" spans="1:11">
      <c r="A208" s="653" t="s">
        <v>356</v>
      </c>
      <c r="K208" s="654">
        <v>879</v>
      </c>
    </row>
    <row r="209" spans="1:11">
      <c r="A209" s="653" t="s">
        <v>232</v>
      </c>
      <c r="B209" s="653">
        <v>-501</v>
      </c>
      <c r="C209" s="654">
        <v>-674.8</v>
      </c>
      <c r="D209" s="654">
        <v>-630.5</v>
      </c>
      <c r="E209" s="654">
        <v>-641.4</v>
      </c>
      <c r="F209" s="654">
        <v>-533.5</v>
      </c>
      <c r="G209" s="654">
        <v>-622.5</v>
      </c>
      <c r="H209" s="654">
        <v>591</v>
      </c>
      <c r="I209" s="654">
        <v>442</v>
      </c>
      <c r="J209" s="654">
        <v>1144</v>
      </c>
      <c r="K209" s="654">
        <v>2181</v>
      </c>
    </row>
    <row r="210" spans="1:11">
      <c r="A210" s="653" t="s">
        <v>355</v>
      </c>
      <c r="K210" s="654">
        <v>272</v>
      </c>
    </row>
    <row r="211" spans="1:11">
      <c r="A211" s="653" t="s">
        <v>354</v>
      </c>
      <c r="B211" s="653">
        <v>11.98</v>
      </c>
      <c r="C211" s="654">
        <v>18.22</v>
      </c>
      <c r="D211" s="654">
        <v>19.11</v>
      </c>
      <c r="E211" s="654">
        <v>9.7100000000000009</v>
      </c>
      <c r="F211" s="654">
        <v>15</v>
      </c>
      <c r="G211" s="654">
        <v>15.11</v>
      </c>
      <c r="H211" s="654">
        <v>7.65</v>
      </c>
      <c r="I211" s="654">
        <v>7.65</v>
      </c>
      <c r="J211" s="654">
        <v>6.04</v>
      </c>
      <c r="K211" s="654">
        <v>6.34</v>
      </c>
    </row>
    <row r="212" spans="1:11">
      <c r="A212" s="653" t="s">
        <v>353</v>
      </c>
      <c r="B212" s="653">
        <v>6.7</v>
      </c>
      <c r="C212" s="654">
        <v>4.7</v>
      </c>
      <c r="D212" s="654">
        <v>4.7</v>
      </c>
      <c r="E212" s="654">
        <v>2.9</v>
      </c>
      <c r="F212" s="654">
        <v>3.4</v>
      </c>
      <c r="G212" s="654">
        <v>4</v>
      </c>
      <c r="H212" s="654">
        <v>4.8</v>
      </c>
      <c r="I212" s="654">
        <v>4.4000000000000004</v>
      </c>
      <c r="J212" s="654">
        <v>2.5</v>
      </c>
      <c r="K212" s="654">
        <v>2</v>
      </c>
    </row>
    <row r="213" spans="1:11">
      <c r="A213" s="653" t="s">
        <v>352</v>
      </c>
      <c r="B213" s="653">
        <v>21.9</v>
      </c>
      <c r="C213" s="654">
        <v>25.7</v>
      </c>
      <c r="D213" s="654">
        <v>27.1</v>
      </c>
      <c r="E213" s="654">
        <v>28</v>
      </c>
      <c r="F213" s="654">
        <v>25.9</v>
      </c>
      <c r="G213" s="654">
        <v>22.1</v>
      </c>
      <c r="H213" s="654">
        <v>15.9</v>
      </c>
      <c r="I213" s="654">
        <v>16.899999999999999</v>
      </c>
      <c r="J213" s="654">
        <v>16.399999999999999</v>
      </c>
      <c r="K213" s="654">
        <v>23.8</v>
      </c>
    </row>
    <row r="214" spans="1:11">
      <c r="A214" s="653" t="s">
        <v>351</v>
      </c>
      <c r="B214" s="653">
        <v>2.7</v>
      </c>
      <c r="C214" s="654">
        <v>1.9</v>
      </c>
      <c r="D214" s="654">
        <v>2</v>
      </c>
      <c r="E214" s="654">
        <v>3.1</v>
      </c>
      <c r="F214" s="654">
        <v>2.2000000000000002</v>
      </c>
      <c r="G214" s="654">
        <v>2</v>
      </c>
      <c r="H214" s="654">
        <v>2</v>
      </c>
      <c r="I214" s="654">
        <v>2.2000000000000002</v>
      </c>
      <c r="J214" s="654">
        <v>2.5</v>
      </c>
      <c r="K214" s="654">
        <v>3.4</v>
      </c>
    </row>
    <row r="215" spans="1:11">
      <c r="A215" s="653" t="s">
        <v>350</v>
      </c>
      <c r="B215" s="653">
        <v>5.5</v>
      </c>
      <c r="C215" s="654">
        <v>5.5</v>
      </c>
      <c r="D215" s="654">
        <v>5.5</v>
      </c>
      <c r="E215" s="654">
        <v>5.5</v>
      </c>
      <c r="F215" s="654">
        <v>4.2</v>
      </c>
      <c r="G215" s="654">
        <v>3.5</v>
      </c>
      <c r="H215" s="654">
        <v>3.4</v>
      </c>
      <c r="I215" s="654">
        <v>4.3</v>
      </c>
      <c r="J215" s="654">
        <v>3.9</v>
      </c>
      <c r="K215" s="654">
        <v>5.4</v>
      </c>
    </row>
    <row r="216" spans="1:11">
      <c r="A216" s="653" t="s">
        <v>349</v>
      </c>
      <c r="B216" s="653">
        <v>5833616</v>
      </c>
      <c r="C216" s="654">
        <v>3760311</v>
      </c>
      <c r="D216" s="654">
        <v>4371066</v>
      </c>
      <c r="E216" s="654">
        <v>4326225</v>
      </c>
      <c r="F216" s="654">
        <v>179579</v>
      </c>
      <c r="G216" s="654">
        <v>379291</v>
      </c>
      <c r="H216" s="654">
        <v>564411</v>
      </c>
      <c r="I216" s="654">
        <v>203481</v>
      </c>
      <c r="J216" s="654">
        <v>330329</v>
      </c>
      <c r="K216" s="654">
        <v>131800</v>
      </c>
    </row>
    <row r="217" spans="1:11">
      <c r="A217" s="653" t="s">
        <v>348</v>
      </c>
      <c r="B217" s="653">
        <v>16683741</v>
      </c>
      <c r="C217" s="654">
        <v>18376304</v>
      </c>
      <c r="D217" s="654">
        <v>19855186</v>
      </c>
      <c r="E217" s="654">
        <v>22032594</v>
      </c>
      <c r="F217" s="654">
        <v>17741298</v>
      </c>
      <c r="G217" s="654">
        <v>8677898</v>
      </c>
      <c r="H217" s="654">
        <v>11508056</v>
      </c>
      <c r="I217" s="654">
        <v>8107931</v>
      </c>
      <c r="J217" s="654">
        <v>5814200</v>
      </c>
      <c r="K217" s="654">
        <v>4915461</v>
      </c>
    </row>
    <row r="218" spans="1:11">
      <c r="A218" s="653" t="s">
        <v>347</v>
      </c>
      <c r="B218" s="653">
        <v>55.58</v>
      </c>
      <c r="C218" s="654">
        <v>55.66</v>
      </c>
      <c r="D218" s="654">
        <v>63.51</v>
      </c>
      <c r="E218" s="654">
        <v>60.87</v>
      </c>
      <c r="F218" s="654">
        <v>62.65</v>
      </c>
      <c r="G218" s="654">
        <v>66.19</v>
      </c>
      <c r="H218" s="654">
        <v>33.94</v>
      </c>
      <c r="I218" s="654">
        <v>33.99</v>
      </c>
      <c r="J218" s="654">
        <v>35.020000000000003</v>
      </c>
      <c r="K218" s="654">
        <v>35.86</v>
      </c>
    </row>
    <row r="219" spans="1:11">
      <c r="A219" s="653" t="s">
        <v>346</v>
      </c>
      <c r="B219" s="653">
        <v>8787173</v>
      </c>
      <c r="C219" s="654">
        <v>12215260</v>
      </c>
      <c r="D219" s="654">
        <v>14449000</v>
      </c>
      <c r="E219" s="654">
        <v>16176926</v>
      </c>
      <c r="F219" s="654">
        <v>15650019</v>
      </c>
      <c r="G219" s="654">
        <v>8555486</v>
      </c>
      <c r="H219" s="654">
        <v>11218976</v>
      </c>
      <c r="I219" s="654">
        <v>7883973</v>
      </c>
      <c r="J219" s="654">
        <v>5592086</v>
      </c>
      <c r="K219" s="654">
        <v>4679664</v>
      </c>
    </row>
    <row r="220" spans="1:11">
      <c r="A220" s="653" t="s">
        <v>345</v>
      </c>
      <c r="B220" s="653">
        <v>57.8</v>
      </c>
      <c r="C220" s="654">
        <v>57.86</v>
      </c>
      <c r="D220" s="654">
        <v>60.21</v>
      </c>
      <c r="E220" s="654">
        <v>63.01</v>
      </c>
      <c r="F220" s="654">
        <v>64.569999999999993</v>
      </c>
      <c r="G220" s="654">
        <v>66.09</v>
      </c>
      <c r="H220" s="654">
        <v>33.74</v>
      </c>
      <c r="I220" s="654">
        <v>33.630000000000003</v>
      </c>
      <c r="J220" s="654">
        <v>34.44</v>
      </c>
      <c r="K220" s="654">
        <v>35.4</v>
      </c>
    </row>
    <row r="221" spans="1:11">
      <c r="A221" s="653" t="s">
        <v>344</v>
      </c>
      <c r="B221" s="653">
        <v>68.599999999999994</v>
      </c>
    </row>
    <row r="222" spans="1:11">
      <c r="A222" s="653" t="s">
        <v>343</v>
      </c>
      <c r="C222" s="654">
        <v>64</v>
      </c>
      <c r="D222" s="654">
        <v>55.8</v>
      </c>
      <c r="E222" s="654">
        <v>0.1</v>
      </c>
      <c r="F222" s="654">
        <v>21.1</v>
      </c>
      <c r="G222" s="654">
        <v>11.2</v>
      </c>
      <c r="H222" s="654">
        <v>7</v>
      </c>
    </row>
    <row r="223" spans="1:11">
      <c r="A223" s="653" t="s">
        <v>343</v>
      </c>
      <c r="E223" s="654">
        <v>35.299999999999997</v>
      </c>
    </row>
    <row r="224" spans="1:11">
      <c r="A224" s="653" t="s">
        <v>343</v>
      </c>
      <c r="B224" s="653">
        <v>1564.7</v>
      </c>
      <c r="C224" s="654">
        <v>1282.5</v>
      </c>
      <c r="D224" s="654">
        <v>850.7</v>
      </c>
      <c r="E224" s="654">
        <v>502.2</v>
      </c>
      <c r="F224" s="654">
        <v>338.3</v>
      </c>
      <c r="G224" s="654">
        <v>215.8</v>
      </c>
      <c r="H224" s="654">
        <v>142</v>
      </c>
    </row>
    <row r="225" spans="1:11">
      <c r="A225" s="653" t="s">
        <v>342</v>
      </c>
      <c r="B225" s="653">
        <v>8380.5</v>
      </c>
    </row>
    <row r="226" spans="1:11">
      <c r="A226" s="653" t="s">
        <v>341</v>
      </c>
      <c r="B226" s="653">
        <v>107</v>
      </c>
    </row>
    <row r="227" spans="1:11">
      <c r="A227" s="653" t="s">
        <v>340</v>
      </c>
      <c r="C227" s="654">
        <v>8372.9</v>
      </c>
      <c r="D227" s="654">
        <v>9082.9</v>
      </c>
      <c r="E227" s="654">
        <v>11154</v>
      </c>
      <c r="F227" s="654">
        <v>14071.3</v>
      </c>
    </row>
    <row r="228" spans="1:11">
      <c r="A228" s="653" t="s">
        <v>339</v>
      </c>
      <c r="C228" s="654">
        <v>46.2</v>
      </c>
      <c r="D228" s="654">
        <v>45.6</v>
      </c>
      <c r="E228" s="654">
        <v>55.6</v>
      </c>
      <c r="F228" s="654">
        <v>55.8</v>
      </c>
    </row>
    <row r="229" spans="1:11">
      <c r="A229" s="653" t="s">
        <v>339</v>
      </c>
      <c r="F229" s="654">
        <v>0.1</v>
      </c>
    </row>
    <row r="230" spans="1:11">
      <c r="A230" s="653" t="s">
        <v>339</v>
      </c>
      <c r="G230" s="654">
        <v>40.1</v>
      </c>
    </row>
    <row r="231" spans="1:11">
      <c r="A231" s="653" t="s">
        <v>337</v>
      </c>
      <c r="B231" s="653">
        <v>75.2</v>
      </c>
      <c r="C231" s="654">
        <v>82.3</v>
      </c>
      <c r="E231" s="654">
        <v>105.3</v>
      </c>
    </row>
    <row r="232" spans="1:11">
      <c r="A232" s="653" t="s">
        <v>338</v>
      </c>
      <c r="B232" s="653">
        <v>14.6</v>
      </c>
      <c r="C232" s="654">
        <v>15.5</v>
      </c>
      <c r="E232" s="654">
        <v>19.399999999999999</v>
      </c>
    </row>
    <row r="233" spans="1:11">
      <c r="A233" s="653" t="s">
        <v>338</v>
      </c>
      <c r="D233" s="654">
        <v>17</v>
      </c>
    </row>
    <row r="234" spans="1:11">
      <c r="A234" s="653" t="s">
        <v>337</v>
      </c>
      <c r="D234" s="654">
        <v>94.6</v>
      </c>
    </row>
    <row r="235" spans="1:11">
      <c r="A235" s="653" t="s">
        <v>336</v>
      </c>
      <c r="F235" s="654">
        <v>113.7</v>
      </c>
      <c r="G235" s="654">
        <v>100.7</v>
      </c>
      <c r="H235" s="654">
        <v>98</v>
      </c>
      <c r="I235" s="654">
        <v>93</v>
      </c>
      <c r="K235" s="654">
        <v>88</v>
      </c>
    </row>
    <row r="236" spans="1:11">
      <c r="A236" s="653" t="s">
        <v>335</v>
      </c>
      <c r="J236" s="654">
        <v>92</v>
      </c>
    </row>
    <row r="237" spans="1:11">
      <c r="A237" s="653" t="s">
        <v>334</v>
      </c>
      <c r="B237" s="653">
        <v>100.4</v>
      </c>
      <c r="C237" s="654">
        <v>0.4</v>
      </c>
      <c r="E237" s="654">
        <v>0.6</v>
      </c>
      <c r="F237" s="654">
        <v>675.7</v>
      </c>
      <c r="G237" s="654">
        <v>685</v>
      </c>
      <c r="J237" s="654">
        <v>400</v>
      </c>
    </row>
    <row r="238" spans="1:11">
      <c r="A238" s="653" t="s">
        <v>333</v>
      </c>
      <c r="B238" s="653">
        <v>87.5</v>
      </c>
      <c r="C238" s="654">
        <v>91.3</v>
      </c>
      <c r="D238" s="654">
        <v>97.4</v>
      </c>
      <c r="E238" s="654">
        <v>96.4</v>
      </c>
      <c r="F238" s="654">
        <v>93.8</v>
      </c>
      <c r="G238" s="654">
        <v>89.2</v>
      </c>
      <c r="H238" s="654">
        <v>87</v>
      </c>
      <c r="I238" s="654">
        <v>89</v>
      </c>
      <c r="J238" s="654">
        <v>78</v>
      </c>
      <c r="K238" s="654">
        <v>72</v>
      </c>
    </row>
    <row r="239" spans="1:11">
      <c r="A239" s="653" t="s">
        <v>332</v>
      </c>
      <c r="B239" s="653">
        <v>300.60000000000002</v>
      </c>
      <c r="C239" s="654">
        <v>0.6</v>
      </c>
      <c r="E239" s="654">
        <v>685.7</v>
      </c>
      <c r="F239" s="654">
        <v>0.8</v>
      </c>
      <c r="H239" s="654">
        <v>400</v>
      </c>
      <c r="J239" s="654">
        <v>275</v>
      </c>
    </row>
    <row r="240" spans="1:11">
      <c r="A240" s="653" t="s">
        <v>331</v>
      </c>
      <c r="B240" s="653">
        <v>78.599999999999994</v>
      </c>
      <c r="C240" s="654">
        <v>82.1</v>
      </c>
      <c r="D240" s="654">
        <v>89.4</v>
      </c>
      <c r="E240" s="654">
        <v>88.9</v>
      </c>
      <c r="F240" s="654">
        <v>87.9</v>
      </c>
      <c r="G240" s="654">
        <v>88.5</v>
      </c>
      <c r="H240" s="654">
        <v>80</v>
      </c>
      <c r="I240" s="654">
        <v>80</v>
      </c>
      <c r="J240" s="654">
        <v>64</v>
      </c>
      <c r="K240" s="654">
        <v>66</v>
      </c>
    </row>
    <row r="241" spans="1:11">
      <c r="A241" s="653" t="s">
        <v>330</v>
      </c>
      <c r="B241" s="653">
        <v>68.5</v>
      </c>
      <c r="C241" s="654">
        <v>73.400000000000006</v>
      </c>
      <c r="D241" s="654">
        <v>78.599999999999994</v>
      </c>
      <c r="E241" s="654">
        <v>82.7</v>
      </c>
      <c r="F241" s="654">
        <v>86</v>
      </c>
      <c r="G241" s="654">
        <v>80.8</v>
      </c>
      <c r="H241" s="654">
        <v>69</v>
      </c>
      <c r="I241" s="654">
        <v>66</v>
      </c>
      <c r="J241" s="654">
        <v>58</v>
      </c>
      <c r="K241" s="654">
        <v>57</v>
      </c>
    </row>
    <row r="242" spans="1:11">
      <c r="A242" s="653" t="s">
        <v>329</v>
      </c>
      <c r="B242" s="653">
        <v>60.8</v>
      </c>
      <c r="C242" s="654">
        <v>65</v>
      </c>
      <c r="D242" s="654">
        <v>69</v>
      </c>
      <c r="E242" s="654">
        <v>77</v>
      </c>
      <c r="F242" s="654">
        <v>78.3</v>
      </c>
      <c r="G242" s="654">
        <v>70.099999999999994</v>
      </c>
      <c r="H242" s="654">
        <v>59</v>
      </c>
      <c r="I242" s="654">
        <v>60</v>
      </c>
      <c r="J242" s="654">
        <v>51</v>
      </c>
      <c r="K242" s="654">
        <v>50</v>
      </c>
    </row>
    <row r="243" spans="1:11">
      <c r="A243" s="653" t="s">
        <v>328</v>
      </c>
      <c r="B243" s="653">
        <v>53.2</v>
      </c>
      <c r="C243" s="654">
        <v>58.6</v>
      </c>
      <c r="D243" s="654">
        <v>66.2</v>
      </c>
      <c r="E243" s="654">
        <v>67.2</v>
      </c>
      <c r="F243" s="654">
        <v>68.900000000000006</v>
      </c>
      <c r="G243" s="654">
        <v>58.1</v>
      </c>
      <c r="H243" s="654">
        <v>57</v>
      </c>
      <c r="I243" s="654">
        <v>54</v>
      </c>
      <c r="J243" s="654">
        <v>48</v>
      </c>
      <c r="K243" s="654">
        <v>41</v>
      </c>
    </row>
    <row r="244" spans="1:11">
      <c r="A244" s="653" t="s">
        <v>327</v>
      </c>
      <c r="B244" s="653">
        <v>281.2</v>
      </c>
      <c r="C244" s="654">
        <v>349.8</v>
      </c>
      <c r="D244" s="654">
        <v>338</v>
      </c>
      <c r="E244" s="654">
        <v>332.8</v>
      </c>
      <c r="F244" s="654">
        <v>297.3</v>
      </c>
      <c r="G244" s="654">
        <v>253.1</v>
      </c>
      <c r="H244" s="654">
        <v>219</v>
      </c>
      <c r="I244" s="654">
        <v>181</v>
      </c>
      <c r="J244" s="654">
        <v>133</v>
      </c>
      <c r="K244" s="654">
        <v>110</v>
      </c>
    </row>
    <row r="245" spans="1:11">
      <c r="A245" s="653" t="s">
        <v>326</v>
      </c>
      <c r="B245" s="653">
        <v>629.79999999999995</v>
      </c>
      <c r="C245" s="654">
        <v>720.2</v>
      </c>
      <c r="D245" s="654">
        <v>738.6</v>
      </c>
      <c r="E245" s="654">
        <v>745</v>
      </c>
      <c r="F245" s="654">
        <v>712.2</v>
      </c>
      <c r="G245" s="654">
        <v>639.79999999999995</v>
      </c>
      <c r="H245" s="654">
        <v>571</v>
      </c>
      <c r="I245" s="654">
        <v>530</v>
      </c>
      <c r="J245" s="654">
        <v>432</v>
      </c>
      <c r="K245" s="654">
        <v>396</v>
      </c>
    </row>
    <row r="246" spans="1:11">
      <c r="A246" s="653" t="s">
        <v>325</v>
      </c>
      <c r="B246" s="653">
        <v>10.3</v>
      </c>
      <c r="C246" s="654">
        <v>7.9</v>
      </c>
      <c r="E246" s="654">
        <v>0.4</v>
      </c>
      <c r="F246" s="654">
        <v>300.60000000000002</v>
      </c>
      <c r="H246" s="654">
        <v>675</v>
      </c>
      <c r="I246" s="654">
        <v>685</v>
      </c>
    </row>
    <row r="247" spans="1:11">
      <c r="A247" s="653" t="s">
        <v>324</v>
      </c>
      <c r="B247" s="653">
        <v>745.8</v>
      </c>
      <c r="C247" s="654">
        <v>1387.1</v>
      </c>
      <c r="D247" s="654">
        <v>1999.9</v>
      </c>
      <c r="E247" s="654">
        <v>3096.3</v>
      </c>
      <c r="F247" s="654">
        <v>3113</v>
      </c>
      <c r="H247" s="654">
        <v>2504</v>
      </c>
      <c r="I247" s="654">
        <v>3427</v>
      </c>
      <c r="J247" s="654">
        <v>3493</v>
      </c>
      <c r="K247" s="654">
        <v>4102</v>
      </c>
    </row>
    <row r="248" spans="1:11">
      <c r="A248" s="653" t="s">
        <v>323</v>
      </c>
      <c r="J248" s="654">
        <v>32481</v>
      </c>
      <c r="K248" s="654">
        <v>36427</v>
      </c>
    </row>
    <row r="249" spans="1:11">
      <c r="A249" s="653" t="s">
        <v>318</v>
      </c>
      <c r="J249" s="654">
        <v>32481</v>
      </c>
      <c r="K249" s="654">
        <v>36427</v>
      </c>
    </row>
    <row r="250" spans="1:11">
      <c r="A250" s="653" t="s">
        <v>322</v>
      </c>
      <c r="J250" s="654">
        <v>274</v>
      </c>
      <c r="K250" s="654">
        <v>151</v>
      </c>
    </row>
    <row r="251" spans="1:11">
      <c r="A251" s="653" t="s">
        <v>322</v>
      </c>
      <c r="J251" s="654">
        <v>204</v>
      </c>
      <c r="K251" s="654">
        <v>226</v>
      </c>
    </row>
    <row r="252" spans="1:11">
      <c r="A252" s="653" t="s">
        <v>321</v>
      </c>
      <c r="J252" s="654">
        <v>274</v>
      </c>
    </row>
    <row r="253" spans="1:11">
      <c r="A253" s="653" t="s">
        <v>321</v>
      </c>
      <c r="J253" s="654">
        <v>204</v>
      </c>
    </row>
    <row r="254" spans="1:11">
      <c r="A254" s="653" t="s">
        <v>318</v>
      </c>
      <c r="K254" s="654">
        <v>151</v>
      </c>
    </row>
    <row r="255" spans="1:11">
      <c r="A255" s="653" t="s">
        <v>316</v>
      </c>
      <c r="K255" s="654">
        <v>226</v>
      </c>
    </row>
    <row r="256" spans="1:11">
      <c r="A256" s="653" t="s">
        <v>320</v>
      </c>
      <c r="J256" s="654">
        <v>32755</v>
      </c>
      <c r="K256" s="654">
        <v>36578</v>
      </c>
    </row>
    <row r="257" spans="1:11">
      <c r="A257" s="653" t="s">
        <v>320</v>
      </c>
      <c r="J257" s="654">
        <v>1479</v>
      </c>
      <c r="K257" s="654">
        <v>1433</v>
      </c>
    </row>
    <row r="258" spans="1:11">
      <c r="A258" s="653" t="s">
        <v>319</v>
      </c>
      <c r="J258" s="654">
        <v>1479</v>
      </c>
    </row>
    <row r="259" spans="1:11">
      <c r="A259" s="653" t="s">
        <v>319</v>
      </c>
      <c r="J259" s="654">
        <v>32755</v>
      </c>
    </row>
    <row r="260" spans="1:11">
      <c r="A260" s="653" t="s">
        <v>318</v>
      </c>
      <c r="K260" s="654">
        <v>36578</v>
      </c>
    </row>
    <row r="261" spans="1:11">
      <c r="A261" s="653" t="s">
        <v>316</v>
      </c>
      <c r="K261" s="654">
        <v>1433</v>
      </c>
    </row>
    <row r="262" spans="1:11">
      <c r="A262" s="653" t="s">
        <v>317</v>
      </c>
      <c r="J262" s="654">
        <v>1275</v>
      </c>
      <c r="K262" s="654">
        <v>1207</v>
      </c>
    </row>
    <row r="263" spans="1:11">
      <c r="A263" s="653" t="s">
        <v>316</v>
      </c>
      <c r="J263" s="654">
        <v>1275</v>
      </c>
      <c r="K263" s="654">
        <v>1207</v>
      </c>
    </row>
    <row r="264" spans="1:11">
      <c r="A264" s="653" t="s">
        <v>315</v>
      </c>
      <c r="I264" s="654">
        <v>-41733268</v>
      </c>
      <c r="J264" s="654">
        <v>22310886</v>
      </c>
      <c r="K264" s="654">
        <v>22623775</v>
      </c>
    </row>
    <row r="265" spans="1:11">
      <c r="A265" s="653" t="s">
        <v>315</v>
      </c>
      <c r="J265" s="654">
        <v>-4017884</v>
      </c>
    </row>
    <row r="266" spans="1:11">
      <c r="A266" s="653" t="s">
        <v>314</v>
      </c>
      <c r="B266" s="653">
        <v>174919173</v>
      </c>
      <c r="C266" s="654">
        <v>170071381</v>
      </c>
      <c r="D266" s="654">
        <v>171201672</v>
      </c>
      <c r="E266" s="654">
        <v>187963376</v>
      </c>
      <c r="F266" s="654">
        <v>192676542</v>
      </c>
      <c r="G266" s="654">
        <v>209038398</v>
      </c>
      <c r="H266" s="654">
        <v>411276940</v>
      </c>
      <c r="I266" s="654">
        <v>374649923</v>
      </c>
      <c r="J266" s="654">
        <v>352254613</v>
      </c>
      <c r="K266" s="654">
        <v>332007664</v>
      </c>
    </row>
    <row r="267" spans="1:11">
      <c r="A267" s="653" t="s">
        <v>313</v>
      </c>
      <c r="B267" s="653">
        <v>3483.7</v>
      </c>
      <c r="C267" s="654">
        <v>3814.8</v>
      </c>
      <c r="D267" s="654">
        <v>4512.2</v>
      </c>
      <c r="E267" s="654">
        <v>6368.1</v>
      </c>
      <c r="F267" s="654">
        <v>7847.7</v>
      </c>
      <c r="G267" s="654">
        <v>8909.7999999999993</v>
      </c>
      <c r="H267" s="654">
        <v>11357</v>
      </c>
      <c r="I267" s="654">
        <v>12998</v>
      </c>
      <c r="J267" s="654">
        <v>12342</v>
      </c>
      <c r="K267" s="654">
        <v>14526</v>
      </c>
    </row>
    <row r="268" spans="1:11">
      <c r="A268" s="653" t="s">
        <v>312</v>
      </c>
      <c r="B268" s="653">
        <v>622.20000000000005</v>
      </c>
      <c r="C268" s="654">
        <v>622.20000000000005</v>
      </c>
      <c r="D268" s="654">
        <v>-26.7</v>
      </c>
      <c r="E268" s="654">
        <v>915.6</v>
      </c>
      <c r="F268" s="654">
        <v>1664.1</v>
      </c>
      <c r="G268" s="654">
        <v>1896.9</v>
      </c>
      <c r="H268" s="654">
        <v>2575</v>
      </c>
      <c r="I268" s="654">
        <v>2859</v>
      </c>
      <c r="J268" s="654">
        <v>1963</v>
      </c>
      <c r="K268" s="654">
        <v>2357</v>
      </c>
    </row>
    <row r="271" spans="1:11">
      <c r="H271" s="654">
        <v>2807</v>
      </c>
      <c r="I271" s="654">
        <v>1804</v>
      </c>
      <c r="J271" s="654">
        <v>2183</v>
      </c>
      <c r="K271" s="654">
        <v>1710</v>
      </c>
    </row>
    <row r="273" spans="9:12" s="653" customFormat="1">
      <c r="I273" s="655"/>
      <c r="J273" s="655"/>
      <c r="K273" s="655"/>
      <c r="L273" s="655"/>
    </row>
    <row r="274" spans="9:12" s="653" customFormat="1">
      <c r="I274" s="654"/>
      <c r="J274" s="654"/>
      <c r="K274" s="655"/>
    </row>
  </sheetData>
  <customSheetViews>
    <customSheetView guid="{5A4827F7-D52D-44AD-B257-2AB13F875B96}" scale="70" hiddenColumns="1">
      <pane xSplit="1" ySplit="12" topLeftCell="C55" activePane="bottomRight" state="frozenSplit"/>
      <selection pane="bottomRight" activeCell="L39" sqref="L39:L40"/>
      <pageMargins left="0.7" right="0.7" top="0.75" bottom="0.75" header="0.3" footer="0.3"/>
      <pageSetup orientation="portrait" r:id="rId1"/>
    </customSheetView>
  </customSheetViews>
  <pageMargins left="0.7" right="0.7" top="0.75" bottom="0.75" header="0.3" footer="0.3"/>
  <pageSetup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pageSetUpPr fitToPage="1"/>
  </sheetPr>
  <dimension ref="A1:Z35"/>
  <sheetViews>
    <sheetView showGridLines="0" topLeftCell="A3" workbookViewId="0">
      <selection activeCell="M15" sqref="M15"/>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6" ht="18.75" thickBot="1">
      <c r="A1" s="89"/>
      <c r="B1" s="1" t="str">
        <f>"Projected Cash Flow Statement for "&amp;Name</f>
        <v>Projected Cash Flow Statement for Chubb Corporation</v>
      </c>
    </row>
    <row r="2" spans="1:26">
      <c r="A2" s="89"/>
      <c r="B2" s="2" t="str">
        <f>Subheader</f>
        <v>Dollars in millions, except per share</v>
      </c>
      <c r="C2" s="3"/>
      <c r="D2" s="3"/>
      <c r="E2" s="3"/>
      <c r="F2" s="3"/>
      <c r="G2" s="3"/>
      <c r="H2" s="3"/>
      <c r="I2" s="3"/>
      <c r="J2" s="3"/>
      <c r="K2" s="3"/>
      <c r="L2" s="3"/>
      <c r="M2" s="3"/>
      <c r="N2" s="3"/>
      <c r="O2" s="3"/>
      <c r="P2" s="3"/>
    </row>
    <row r="3" spans="1:26">
      <c r="A3" s="89"/>
    </row>
    <row r="4" spans="1:26">
      <c r="A4" s="89"/>
      <c r="I4" s="21"/>
      <c r="J4" s="21"/>
      <c r="K4" s="21"/>
      <c r="L4" s="20" t="str">
        <f>IS!L$4</f>
        <v>Projected Year Ending December 31,</v>
      </c>
      <c r="M4" s="20"/>
      <c r="N4" s="20"/>
      <c r="O4" s="20"/>
      <c r="P4" s="20"/>
    </row>
    <row r="5" spans="1:26">
      <c r="A5" s="89"/>
      <c r="I5" s="11"/>
      <c r="J5" s="12"/>
      <c r="K5" s="12"/>
      <c r="L5" s="114">
        <f>IS!L$5</f>
        <v>2011</v>
      </c>
      <c r="M5" s="114">
        <f>IS!M$5</f>
        <v>2012</v>
      </c>
      <c r="N5" s="114">
        <f>IS!N$5</f>
        <v>2013</v>
      </c>
      <c r="O5" s="114">
        <f>IS!O$5</f>
        <v>2014</v>
      </c>
      <c r="P5" s="114">
        <f>IS!P$5</f>
        <v>2015</v>
      </c>
    </row>
    <row r="6" spans="1:26">
      <c r="A6" s="89"/>
      <c r="B6" s="4" t="s">
        <v>66</v>
      </c>
    </row>
    <row r="7" spans="1:26">
      <c r="A7" s="89" t="s">
        <v>118</v>
      </c>
      <c r="C7" t="s">
        <v>195</v>
      </c>
      <c r="L7" s="28">
        <f>IS!L25</f>
        <v>1608.6240000000012</v>
      </c>
      <c r="M7" s="28">
        <f>IS!M25</f>
        <v>1705.7232000000004</v>
      </c>
      <c r="N7" s="28">
        <f>IS!N25</f>
        <v>1778.9048640000001</v>
      </c>
      <c r="O7" s="28">
        <f>IS!O25</f>
        <v>1820.502161280001</v>
      </c>
      <c r="P7" s="28">
        <f>IS!P25</f>
        <v>1862.9314045056005</v>
      </c>
    </row>
    <row r="8" spans="1:26" s="64" customFormat="1">
      <c r="A8" s="89"/>
      <c r="C8" s="103" t="s">
        <v>151</v>
      </c>
      <c r="I8"/>
      <c r="J8"/>
      <c r="K8"/>
      <c r="L8" s="68">
        <f>equity!L10</f>
        <v>0</v>
      </c>
      <c r="M8" s="68">
        <f>equity!M10</f>
        <v>0</v>
      </c>
      <c r="N8" s="68">
        <f>equity!N10</f>
        <v>0</v>
      </c>
      <c r="O8" s="68">
        <f>equity!O10</f>
        <v>0</v>
      </c>
      <c r="P8" s="68">
        <f>equity!P10</f>
        <v>0</v>
      </c>
    </row>
    <row r="9" spans="1:26" s="6" customFormat="1">
      <c r="A9" s="89"/>
      <c r="C9" s="6" t="s">
        <v>199</v>
      </c>
      <c r="I9"/>
      <c r="J9"/>
      <c r="K9"/>
      <c r="L9" s="29">
        <f>Investments!L11</f>
        <v>0</v>
      </c>
      <c r="M9" s="29">
        <f>Investments!M11</f>
        <v>0</v>
      </c>
      <c r="N9" s="29">
        <f>Investments!N11</f>
        <v>0</v>
      </c>
      <c r="O9" s="29">
        <f>Investments!O11</f>
        <v>0</v>
      </c>
      <c r="P9" s="29">
        <f>Investments!P11</f>
        <v>0</v>
      </c>
    </row>
    <row r="10" spans="1:26" s="6" customFormat="1">
      <c r="A10" s="89"/>
      <c r="C10" s="27" t="s">
        <v>133</v>
      </c>
      <c r="I10"/>
      <c r="J10"/>
      <c r="K10"/>
      <c r="L10" s="29">
        <f>amort!L11</f>
        <v>0</v>
      </c>
      <c r="M10" s="29">
        <f>amort!M11</f>
        <v>0</v>
      </c>
      <c r="N10" s="29">
        <f>amort!N11</f>
        <v>0</v>
      </c>
      <c r="O10" s="29">
        <f>amort!O11</f>
        <v>0</v>
      </c>
      <c r="P10" s="29">
        <f>amort!P11</f>
        <v>0</v>
      </c>
    </row>
    <row r="11" spans="1:26" s="6" customFormat="1">
      <c r="A11" s="89"/>
      <c r="C11" s="6" t="s">
        <v>260</v>
      </c>
      <c r="I11"/>
      <c r="J11"/>
      <c r="K11"/>
      <c r="L11" s="29">
        <f>other!L18</f>
        <v>0</v>
      </c>
      <c r="M11" s="29">
        <f>other!M18</f>
        <v>0</v>
      </c>
      <c r="N11" s="29">
        <f>other!N18</f>
        <v>0</v>
      </c>
      <c r="O11" s="29">
        <f>other!O18</f>
        <v>0</v>
      </c>
      <c r="P11" s="29">
        <f>other!P18</f>
        <v>0</v>
      </c>
    </row>
    <row r="12" spans="1:26">
      <c r="A12" s="89" t="s">
        <v>118</v>
      </c>
      <c r="D12" t="s">
        <v>200</v>
      </c>
      <c r="L12" s="500">
        <f>SUM(L7:L11)</f>
        <v>1608.6240000000012</v>
      </c>
      <c r="M12" s="500">
        <f>SUM(M7:M11)</f>
        <v>1705.7232000000004</v>
      </c>
      <c r="N12" s="500">
        <f>SUM(N7:N11)</f>
        <v>1778.9048640000001</v>
      </c>
      <c r="O12" s="500">
        <f>SUM(O7:O11)</f>
        <v>1820.502161280001</v>
      </c>
      <c r="P12" s="500">
        <f>SUM(P7:P11)</f>
        <v>1862.9314045056005</v>
      </c>
    </row>
    <row r="13" spans="1:26">
      <c r="A13" s="89"/>
      <c r="L13" s="18"/>
      <c r="M13" s="18"/>
      <c r="N13" s="18"/>
      <c r="O13" s="18"/>
      <c r="P13" s="18"/>
    </row>
    <row r="14" spans="1:26">
      <c r="A14" s="89"/>
      <c r="B14" s="4" t="s">
        <v>67</v>
      </c>
      <c r="L14" s="18"/>
      <c r="M14" s="18"/>
      <c r="N14" s="18"/>
      <c r="O14" s="18"/>
      <c r="P14" s="18"/>
    </row>
    <row r="15" spans="1:26">
      <c r="A15" s="89"/>
      <c r="C15" t="s">
        <v>130</v>
      </c>
      <c r="L15" s="29">
        <f>Investments!L8</f>
        <v>771.19524690719481</v>
      </c>
      <c r="M15" s="29">
        <f>-Investments!M8</f>
        <v>-543.55761273177632</v>
      </c>
      <c r="N15" s="29">
        <f>-Investments!N8</f>
        <v>658.20936369041738</v>
      </c>
      <c r="O15" s="29">
        <f>-Investments!O8</f>
        <v>675.58699096421697</v>
      </c>
      <c r="P15" s="29">
        <f>-Investments!P8</f>
        <v>693.31217078349437</v>
      </c>
      <c r="Z15" s="424"/>
    </row>
    <row r="16" spans="1:26">
      <c r="A16" s="89"/>
      <c r="C16" s="19" t="s">
        <v>68</v>
      </c>
      <c r="K16" s="33"/>
      <c r="L16" s="68">
        <f>-amort!L8</f>
        <v>0</v>
      </c>
      <c r="M16" s="68">
        <f>-amort!M8</f>
        <v>0</v>
      </c>
      <c r="N16" s="68">
        <f>-amort!N8</f>
        <v>0</v>
      </c>
      <c r="O16" s="68">
        <f>-amort!O8</f>
        <v>0</v>
      </c>
      <c r="P16" s="68">
        <f>-amort!P8</f>
        <v>0</v>
      </c>
    </row>
    <row r="17" spans="1:16">
      <c r="A17" s="89" t="s">
        <v>118</v>
      </c>
      <c r="D17" t="s">
        <v>201</v>
      </c>
      <c r="L17" s="500">
        <f>SUM(L15:L16)</f>
        <v>771.19524690719481</v>
      </c>
      <c r="M17" s="500">
        <f>SUM(M15:M16)</f>
        <v>-543.55761273177632</v>
      </c>
      <c r="N17" s="500">
        <f>SUM(N15:N16)</f>
        <v>658.20936369041738</v>
      </c>
      <c r="O17" s="500">
        <f>SUM(O15:O16)</f>
        <v>675.58699096421697</v>
      </c>
      <c r="P17" s="500">
        <f>SUM(P15:P16)</f>
        <v>693.31217078349437</v>
      </c>
    </row>
    <row r="18" spans="1:16">
      <c r="A18" s="89"/>
      <c r="L18" s="27"/>
      <c r="M18" s="27"/>
      <c r="N18" s="27"/>
      <c r="O18" s="27"/>
      <c r="P18" s="27"/>
    </row>
    <row r="19" spans="1:16" s="25" customFormat="1">
      <c r="A19" s="482"/>
      <c r="B19" s="25" t="s">
        <v>202</v>
      </c>
      <c r="L19" s="501">
        <f>L17+L12</f>
        <v>2379.819246907196</v>
      </c>
      <c r="M19" s="501">
        <f>M17+M12</f>
        <v>1162.165587268224</v>
      </c>
      <c r="N19" s="501">
        <f>N17+N12</f>
        <v>2437.1142276904175</v>
      </c>
      <c r="O19" s="501">
        <f>O17+O12</f>
        <v>2496.089152244218</v>
      </c>
      <c r="P19" s="501">
        <f>P17+P12</f>
        <v>2556.2435752890951</v>
      </c>
    </row>
    <row r="20" spans="1:16">
      <c r="A20" s="89"/>
      <c r="L20" s="373"/>
      <c r="M20" s="373"/>
      <c r="N20" s="373"/>
      <c r="O20" s="373"/>
      <c r="P20" s="373"/>
    </row>
    <row r="21" spans="1:16">
      <c r="A21" s="89"/>
      <c r="B21" s="4" t="s">
        <v>69</v>
      </c>
      <c r="L21" s="373"/>
      <c r="M21" s="373"/>
      <c r="N21" s="373"/>
      <c r="O21" s="373"/>
      <c r="P21" s="373"/>
    </row>
    <row r="22" spans="1:16">
      <c r="A22" s="89"/>
      <c r="C22" t="s">
        <v>64</v>
      </c>
      <c r="L22" s="29">
        <f>debt_interest!L20</f>
        <v>0</v>
      </c>
      <c r="M22" s="29">
        <f>debt_interest!M20</f>
        <v>0</v>
      </c>
      <c r="N22" s="29">
        <f>debt_interest!N20</f>
        <v>0</v>
      </c>
      <c r="O22" s="29">
        <f>debt_interest!O20</f>
        <v>0</v>
      </c>
      <c r="P22" s="29">
        <f>debt_interest!P20</f>
        <v>0</v>
      </c>
    </row>
    <row r="23" spans="1:16" s="6" customFormat="1">
      <c r="A23" s="89"/>
      <c r="B23"/>
      <c r="C23" t="s">
        <v>174</v>
      </c>
      <c r="D23" s="64"/>
      <c r="E23" s="64"/>
      <c r="F23" s="64"/>
      <c r="G23" s="64"/>
      <c r="H23" s="64"/>
      <c r="L23" s="29">
        <f>debt_interest!L25</f>
        <v>0</v>
      </c>
      <c r="M23" s="29">
        <f>debt_interest!M25</f>
        <v>0</v>
      </c>
      <c r="N23" s="29">
        <f>debt_interest!N25</f>
        <v>0</v>
      </c>
      <c r="O23" s="29">
        <f>debt_interest!O25</f>
        <v>0</v>
      </c>
      <c r="P23" s="29">
        <f>debt_interest!P25</f>
        <v>0</v>
      </c>
    </row>
    <row r="24" spans="1:16" s="6" customFormat="1">
      <c r="A24" s="89"/>
      <c r="B24"/>
      <c r="C24" t="s">
        <v>175</v>
      </c>
      <c r="D24" s="64"/>
      <c r="E24" s="64"/>
      <c r="F24" s="64"/>
      <c r="G24" s="64"/>
      <c r="H24" s="64"/>
      <c r="L24" s="29">
        <f>debt_interest!L26</f>
        <v>-400</v>
      </c>
      <c r="M24" s="29">
        <f>debt_interest!M26</f>
        <v>0</v>
      </c>
      <c r="N24" s="29">
        <f>debt_interest!N26</f>
        <v>-275</v>
      </c>
      <c r="O24" s="29">
        <f>debt_interest!O26</f>
        <v>0</v>
      </c>
      <c r="P24" s="29">
        <f>debt_interest!P26</f>
        <v>0</v>
      </c>
    </row>
    <row r="25" spans="1:16" s="6" customFormat="1">
      <c r="A25" s="89"/>
      <c r="C25" s="6" t="s">
        <v>176</v>
      </c>
      <c r="L25" s="29">
        <f>-equity!L21</f>
        <v>-1481.9282797839078</v>
      </c>
      <c r="M25" s="29">
        <f>-equity!M21</f>
        <v>-891.66556437560519</v>
      </c>
      <c r="N25" s="29">
        <f>-equity!N21</f>
        <v>0</v>
      </c>
      <c r="O25" s="29">
        <f>-equity!O21</f>
        <v>0</v>
      </c>
      <c r="P25" s="29">
        <f>-equity!P21</f>
        <v>0</v>
      </c>
    </row>
    <row r="26" spans="1:16" s="6" customFormat="1">
      <c r="A26" s="89"/>
      <c r="C26" s="27" t="s">
        <v>23</v>
      </c>
      <c r="L26" s="29">
        <f>-equity!L29</f>
        <v>-482.58720000000034</v>
      </c>
      <c r="M26" s="29">
        <f>-equity!M29</f>
        <v>-511.71696000000009</v>
      </c>
      <c r="N26" s="29">
        <f>-equity!N29</f>
        <v>-533.67145919999996</v>
      </c>
      <c r="O26" s="29">
        <f>-equity!O29</f>
        <v>-546.15064838400031</v>
      </c>
      <c r="P26" s="29">
        <f>-equity!P29</f>
        <v>-558.87942135168009</v>
      </c>
    </row>
    <row r="27" spans="1:16" s="6" customFormat="1">
      <c r="A27" s="89"/>
      <c r="C27" s="6" t="s">
        <v>152</v>
      </c>
      <c r="L27" s="29">
        <f>equity!L26</f>
        <v>0</v>
      </c>
      <c r="M27" s="29">
        <f>equity!M26</f>
        <v>0</v>
      </c>
      <c r="N27" s="29">
        <f>equity!N26</f>
        <v>0</v>
      </c>
      <c r="O27" s="29">
        <f>equity!O26</f>
        <v>0</v>
      </c>
      <c r="P27" s="29">
        <f>equity!P26</f>
        <v>0</v>
      </c>
    </row>
    <row r="28" spans="1:16">
      <c r="A28" s="89" t="s">
        <v>118</v>
      </c>
      <c r="D28" t="s">
        <v>203</v>
      </c>
      <c r="L28" s="375">
        <f>SUM(L22:L27)</f>
        <v>-2364.5154797839082</v>
      </c>
      <c r="M28" s="375">
        <f>SUM(M22:M27)</f>
        <v>-1403.3825243756053</v>
      </c>
      <c r="N28" s="375">
        <f>SUM(N22:N27)</f>
        <v>-808.67145919999996</v>
      </c>
      <c r="O28" s="375">
        <f>SUM(O22:O27)</f>
        <v>-546.15064838400031</v>
      </c>
      <c r="P28" s="375">
        <f>SUM(P22:P27)</f>
        <v>-558.87942135168009</v>
      </c>
    </row>
    <row r="29" spans="1:16">
      <c r="A29" s="89"/>
      <c r="L29" s="373"/>
      <c r="M29" s="373"/>
      <c r="N29" s="373"/>
      <c r="O29" s="373"/>
      <c r="P29" s="373"/>
    </row>
    <row r="30" spans="1:16">
      <c r="A30" s="89"/>
      <c r="B30" t="s">
        <v>204</v>
      </c>
      <c r="L30" s="373">
        <f>L28+L19</f>
        <v>15.303767123287798</v>
      </c>
      <c r="M30" s="373">
        <f>M28+M19</f>
        <v>-241.21693710738123</v>
      </c>
      <c r="N30" s="373">
        <f t="shared" ref="N30:P30" si="0">N28+N19</f>
        <v>1628.4427684904176</v>
      </c>
      <c r="O30" s="373">
        <f t="shared" si="0"/>
        <v>1949.9385038602177</v>
      </c>
      <c r="P30" s="373">
        <f t="shared" si="0"/>
        <v>1997.364153937415</v>
      </c>
    </row>
    <row r="31" spans="1:16">
      <c r="A31" s="89"/>
      <c r="C31" t="s">
        <v>153</v>
      </c>
      <c r="L31" s="29">
        <f>BS!K8</f>
        <v>77</v>
      </c>
      <c r="M31" s="29">
        <f>L32</f>
        <v>92.303767123287798</v>
      </c>
      <c r="N31" s="29">
        <f t="shared" ref="N31:P31" si="1">M32</f>
        <v>-148.91316998409343</v>
      </c>
      <c r="O31" s="29">
        <f t="shared" si="1"/>
        <v>1479.5295985063242</v>
      </c>
      <c r="P31" s="29">
        <f t="shared" si="1"/>
        <v>3429.4681023665416</v>
      </c>
    </row>
    <row r="32" spans="1:16">
      <c r="A32" s="89" t="s">
        <v>118</v>
      </c>
      <c r="C32" t="s">
        <v>154</v>
      </c>
      <c r="L32" s="377">
        <f>SUM(L30:L31)</f>
        <v>92.303767123287798</v>
      </c>
      <c r="M32" s="377">
        <f>SUM(M30:M31)</f>
        <v>-148.91316998409343</v>
      </c>
      <c r="N32" s="377">
        <f>SUM(N30:N31)</f>
        <v>1479.5295985063242</v>
      </c>
      <c r="O32" s="377">
        <f>SUM(O30:O31)</f>
        <v>3429.4681023665416</v>
      </c>
      <c r="P32" s="377">
        <f>SUM(P30:P31)</f>
        <v>5426.8322563039565</v>
      </c>
    </row>
    <row r="33" spans="1:16">
      <c r="A33" s="89"/>
      <c r="L33" s="372"/>
      <c r="M33" s="372"/>
      <c r="N33" s="372"/>
      <c r="O33" s="372"/>
      <c r="P33" s="372"/>
    </row>
    <row r="34" spans="1:16">
      <c r="A34" s="89"/>
      <c r="L34" s="376"/>
      <c r="M34" s="376"/>
      <c r="N34" s="376"/>
      <c r="O34" s="10"/>
      <c r="P34" s="10"/>
    </row>
    <row r="35" spans="1:16">
      <c r="A35" s="89" t="s">
        <v>118</v>
      </c>
      <c r="B35" s="89" t="s">
        <v>131</v>
      </c>
      <c r="L35" s="376"/>
      <c r="M35" s="376"/>
      <c r="N35" s="376"/>
      <c r="O35" s="376"/>
      <c r="P35" s="376"/>
    </row>
  </sheetData>
  <customSheetViews>
    <customSheetView guid="{5A4827F7-D52D-44AD-B257-2AB13F875B96}" showGridLines="0" fitToPage="1" topLeftCell="A3">
      <selection activeCell="M15" sqref="M15"/>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pageSetUpPr fitToPage="1"/>
  </sheetPr>
  <dimension ref="A1:S37"/>
  <sheetViews>
    <sheetView showGridLines="0" workbookViewId="0">
      <selection activeCell="T37" sqref="T37"/>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 t="str">
        <f>"Working Capital Schedule"</f>
        <v>Working Capital Schedule</v>
      </c>
    </row>
    <row r="2" spans="1:18">
      <c r="A2" s="89"/>
      <c r="B2" s="2" t="str">
        <f>Subheader</f>
        <v>Dollars in millions, except per share</v>
      </c>
      <c r="C2" s="3"/>
      <c r="D2" s="3"/>
      <c r="E2" s="3"/>
      <c r="F2" s="3"/>
      <c r="G2" s="3"/>
      <c r="H2" s="3"/>
      <c r="I2" s="3"/>
      <c r="J2" s="3"/>
      <c r="K2" s="3"/>
      <c r="L2" s="3"/>
      <c r="M2" s="3"/>
      <c r="N2" s="3"/>
      <c r="O2" s="3"/>
      <c r="P2" s="3"/>
    </row>
    <row r="3" spans="1:18">
      <c r="A3" s="89"/>
      <c r="B3" s="542"/>
      <c r="R3" s="50"/>
    </row>
    <row r="4" spans="1:18">
      <c r="A4" s="89"/>
      <c r="I4" s="20" t="str">
        <f>IS!I$4</f>
        <v>Historical Year Ending December 31,</v>
      </c>
      <c r="J4" s="20"/>
      <c r="K4" s="20"/>
      <c r="L4" s="20" t="str">
        <f>IS!L$4</f>
        <v>Projected Year Ending December 31,</v>
      </c>
      <c r="M4" s="20"/>
      <c r="N4" s="20"/>
      <c r="O4" s="20"/>
      <c r="P4" s="20"/>
      <c r="R4" s="50"/>
    </row>
    <row r="5" spans="1:18">
      <c r="A5" s="89"/>
      <c r="I5" s="114">
        <f>IS!I$5</f>
        <v>2008</v>
      </c>
      <c r="J5" s="114">
        <f>IS!J$5</f>
        <v>2009</v>
      </c>
      <c r="K5" s="152">
        <f>IS!K$5</f>
        <v>2010</v>
      </c>
      <c r="L5" s="114">
        <f>IS!L$5</f>
        <v>2011</v>
      </c>
      <c r="M5" s="114">
        <f>IS!M$5</f>
        <v>2012</v>
      </c>
      <c r="N5" s="114">
        <f>IS!N$5</f>
        <v>2013</v>
      </c>
      <c r="O5" s="114">
        <f>IS!O$5</f>
        <v>2014</v>
      </c>
      <c r="P5" s="114">
        <f>IS!P$5</f>
        <v>2015</v>
      </c>
      <c r="R5" s="50"/>
    </row>
    <row r="6" spans="1:18">
      <c r="A6" s="89"/>
      <c r="K6" s="24"/>
      <c r="R6" s="50"/>
    </row>
    <row r="7" spans="1:18" s="5" customFormat="1">
      <c r="A7" s="89"/>
      <c r="B7" s="104" t="s">
        <v>310</v>
      </c>
      <c r="I7" s="28">
        <f>IS!I7</f>
        <v>11828</v>
      </c>
      <c r="J7" s="28">
        <f>IS!J7</f>
        <v>11331</v>
      </c>
      <c r="K7" s="135">
        <f>IS!K7</f>
        <v>11215</v>
      </c>
      <c r="L7" s="28">
        <f>IS!L7</f>
        <v>11215</v>
      </c>
      <c r="M7" s="28">
        <f>IS!M7</f>
        <v>11775.75</v>
      </c>
      <c r="N7" s="28">
        <f>IS!N7</f>
        <v>12011.264999999999</v>
      </c>
      <c r="O7" s="28">
        <f>IS!O7</f>
        <v>12251.490299999999</v>
      </c>
      <c r="P7" s="28">
        <f>IS!P7</f>
        <v>12496.520106</v>
      </c>
      <c r="R7" s="453"/>
    </row>
    <row r="8" spans="1:18" s="6" customFormat="1">
      <c r="A8" s="89"/>
      <c r="B8" s="378" t="str">
        <f>IS!B9</f>
        <v>Losses and Loss Expenses</v>
      </c>
      <c r="I8" s="29">
        <f>IS!I9</f>
        <v>6898</v>
      </c>
      <c r="J8" s="29">
        <f>IS!J9</f>
        <v>6268</v>
      </c>
      <c r="K8" s="245">
        <f>IS!K9</f>
        <v>6499</v>
      </c>
      <c r="L8" s="29">
        <f>IS!L9</f>
        <v>6616.8499999999995</v>
      </c>
      <c r="M8" s="29">
        <f>IS!M9</f>
        <v>6947.6924999999992</v>
      </c>
      <c r="N8" s="29">
        <f>IS!N9</f>
        <v>7086.6463499999991</v>
      </c>
      <c r="O8" s="29">
        <f>IS!O9</f>
        <v>7228.3792769999991</v>
      </c>
      <c r="P8" s="29">
        <f>IS!P9</f>
        <v>7372.9468625399995</v>
      </c>
      <c r="R8" s="452"/>
    </row>
    <row r="9" spans="1:18">
      <c r="A9" s="89"/>
      <c r="K9" s="24"/>
      <c r="R9" s="50"/>
    </row>
    <row r="10" spans="1:18">
      <c r="A10" s="89"/>
      <c r="B10" s="4" t="s">
        <v>188</v>
      </c>
      <c r="K10" s="24"/>
      <c r="R10" s="50"/>
    </row>
    <row r="11" spans="1:18" s="5" customFormat="1">
      <c r="A11" s="89" t="s">
        <v>118</v>
      </c>
      <c r="C11" s="28" t="str">
        <f>BS!B8</f>
        <v>Cash</v>
      </c>
      <c r="I11" s="28">
        <f>BS!I8</f>
        <v>56</v>
      </c>
      <c r="J11" s="28">
        <f>BS!J8</f>
        <v>51</v>
      </c>
      <c r="K11" s="135">
        <f>BS!K8</f>
        <v>77</v>
      </c>
      <c r="L11" s="5">
        <f>L27*L7/days</f>
        <v>61.452054794520549</v>
      </c>
      <c r="M11" s="5">
        <f t="shared" ref="M11:P12" si="0">M27*M7/days</f>
        <v>64.524657534246572</v>
      </c>
      <c r="N11" s="5">
        <f t="shared" si="0"/>
        <v>65.81515068493151</v>
      </c>
      <c r="O11" s="5">
        <f t="shared" si="0"/>
        <v>67.131453698630139</v>
      </c>
      <c r="P11" s="5">
        <f t="shared" si="0"/>
        <v>68.474082772602742</v>
      </c>
      <c r="R11" s="453"/>
    </row>
    <row r="12" spans="1:18" s="6" customFormat="1">
      <c r="A12" s="89"/>
      <c r="C12" s="28" t="str">
        <f>BS!B9</f>
        <v>Premiums Receivable</v>
      </c>
      <c r="I12" s="29">
        <f>BS!I9</f>
        <v>2201</v>
      </c>
      <c r="J12" s="29">
        <f>BS!J9</f>
        <v>2101</v>
      </c>
      <c r="K12" s="245">
        <f>BS!K9</f>
        <v>1974</v>
      </c>
      <c r="L12" s="6">
        <f>L28*L8/days</f>
        <v>1994.1191780821914</v>
      </c>
      <c r="M12" s="6">
        <f t="shared" si="0"/>
        <v>2093.825136986301</v>
      </c>
      <c r="N12" s="6">
        <f t="shared" si="0"/>
        <v>2135.7016397260268</v>
      </c>
      <c r="O12" s="6">
        <f t="shared" si="0"/>
        <v>2178.4156725205476</v>
      </c>
      <c r="P12" s="6">
        <f t="shared" si="0"/>
        <v>2221.9839859709587</v>
      </c>
      <c r="R12" s="452"/>
    </row>
    <row r="13" spans="1:18" s="6" customFormat="1">
      <c r="A13" s="89"/>
      <c r="C13" s="28" t="str">
        <f>BS!B13</f>
        <v>Investments</v>
      </c>
      <c r="I13" s="29">
        <f>BS!I13</f>
        <v>36260</v>
      </c>
      <c r="J13" s="29">
        <f>BS!J13</f>
        <v>40086</v>
      </c>
      <c r="K13" s="245">
        <f>BS!K13</f>
        <v>40167</v>
      </c>
      <c r="L13" s="6">
        <f>BS!L13</f>
        <v>39811.10852021609</v>
      </c>
      <c r="M13" s="6">
        <f>BS!M13</f>
        <v>40113.449195840483</v>
      </c>
      <c r="N13" s="6">
        <f>BS!N13</f>
        <v>41358.682600640481</v>
      </c>
      <c r="O13" s="6">
        <f>BS!O13</f>
        <v>42633.03411353648</v>
      </c>
      <c r="P13" s="6">
        <f>BS!P13</f>
        <v>43937.0860966904</v>
      </c>
      <c r="R13" s="452"/>
    </row>
    <row r="14" spans="1:18">
      <c r="A14" s="89"/>
      <c r="D14" s="93" t="s">
        <v>1057</v>
      </c>
      <c r="I14" s="136">
        <f>SUM(I11:I13)</f>
        <v>38517</v>
      </c>
      <c r="J14" s="136">
        <f t="shared" ref="J14:P14" si="1">SUM(J11:J13)</f>
        <v>42238</v>
      </c>
      <c r="K14" s="379">
        <f t="shared" si="1"/>
        <v>42218</v>
      </c>
      <c r="L14" s="136">
        <f>SUM(L11:L13)</f>
        <v>41866.679753092802</v>
      </c>
      <c r="M14" s="136">
        <f t="shared" si="1"/>
        <v>42271.798990361029</v>
      </c>
      <c r="N14" s="136">
        <f t="shared" si="1"/>
        <v>43560.199391051443</v>
      </c>
      <c r="O14" s="136">
        <f t="shared" si="1"/>
        <v>44878.581239755658</v>
      </c>
      <c r="P14" s="136">
        <f t="shared" si="1"/>
        <v>46227.544165433959</v>
      </c>
      <c r="R14" s="50"/>
    </row>
    <row r="15" spans="1:18">
      <c r="A15" s="89"/>
      <c r="K15" s="24"/>
      <c r="R15" s="50"/>
    </row>
    <row r="16" spans="1:18">
      <c r="A16" s="89" t="s">
        <v>118</v>
      </c>
      <c r="C16" s="28" t="str">
        <f>BS!B19</f>
        <v>Unpaid Losses and Loss Expenses</v>
      </c>
      <c r="I16" s="28">
        <f>BS!I19</f>
        <v>22367</v>
      </c>
      <c r="J16" s="28">
        <f>BS!J19</f>
        <v>22839</v>
      </c>
      <c r="K16" s="135">
        <f>BS!K19</f>
        <v>22755</v>
      </c>
      <c r="L16" s="5">
        <f>L31*L8</f>
        <v>23158.974999999999</v>
      </c>
      <c r="M16" s="5">
        <f>M31*M8</f>
        <v>24316.923749999998</v>
      </c>
      <c r="N16" s="5">
        <f t="shared" ref="N16:O16" si="2">N31*N8</f>
        <v>24803.262224999999</v>
      </c>
      <c r="O16" s="5">
        <f t="shared" si="2"/>
        <v>25299.327469499996</v>
      </c>
      <c r="P16" s="5">
        <f>P31*P8</f>
        <v>25805.31401889</v>
      </c>
      <c r="R16" s="50"/>
    </row>
    <row r="17" spans="1:19">
      <c r="A17" s="89"/>
      <c r="C17" s="28" t="str">
        <f>BS!B20</f>
        <v>Unearned Premiums</v>
      </c>
      <c r="I17" s="29">
        <f>BS!I20</f>
        <v>6367</v>
      </c>
      <c r="J17" s="29">
        <f>BS!J20</f>
        <v>6153</v>
      </c>
      <c r="K17" s="245">
        <f>BS!K20</f>
        <v>6133</v>
      </c>
      <c r="L17" s="64">
        <f>L32*L7</f>
        <v>6056.1</v>
      </c>
      <c r="M17" s="64">
        <f t="shared" ref="M17:P17" si="3">M32*M7</f>
        <v>6358.9050000000007</v>
      </c>
      <c r="N17" s="64">
        <f t="shared" si="3"/>
        <v>6486.0830999999998</v>
      </c>
      <c r="O17" s="64">
        <f t="shared" si="3"/>
        <v>6615.8047619999998</v>
      </c>
      <c r="P17" s="64">
        <f t="shared" si="3"/>
        <v>6748.1208572400001</v>
      </c>
      <c r="Q17" s="642"/>
      <c r="R17" s="50"/>
    </row>
    <row r="18" spans="1:19">
      <c r="A18" s="89"/>
      <c r="C18" s="28" t="str">
        <f>BS!B21</f>
        <v>Other current liabilities</v>
      </c>
      <c r="I18" s="29">
        <f>BS!I21</f>
        <v>2288</v>
      </c>
      <c r="J18" s="29">
        <f>BS!J21</f>
        <v>1848</v>
      </c>
      <c r="K18" s="245">
        <f>BS!K21</f>
        <v>1253</v>
      </c>
      <c r="L18" s="378">
        <f>L33*L7</f>
        <v>1345.8</v>
      </c>
      <c r="M18" s="378">
        <f>M33*M8</f>
        <v>833.72309999999982</v>
      </c>
      <c r="N18" s="378">
        <f>N33*N8</f>
        <v>850.39756199999988</v>
      </c>
      <c r="O18" s="378">
        <f>O33*O8</f>
        <v>867.40551323999989</v>
      </c>
      <c r="P18" s="378">
        <f>P33*P8</f>
        <v>884.75362350479986</v>
      </c>
      <c r="R18" s="50"/>
    </row>
    <row r="19" spans="1:19">
      <c r="A19" s="89"/>
      <c r="D19" t="s">
        <v>104</v>
      </c>
      <c r="I19" s="136">
        <f t="shared" ref="I19:P19" si="4">SUM(I16:I18)</f>
        <v>31022</v>
      </c>
      <c r="J19" s="136">
        <f t="shared" si="4"/>
        <v>30840</v>
      </c>
      <c r="K19" s="379">
        <f t="shared" si="4"/>
        <v>30141</v>
      </c>
      <c r="L19" s="136">
        <f>SUM(L16:L18)</f>
        <v>30560.874999999996</v>
      </c>
      <c r="M19" s="136">
        <f t="shared" si="4"/>
        <v>31509.55185</v>
      </c>
      <c r="N19" s="136">
        <f t="shared" si="4"/>
        <v>32139.742886999997</v>
      </c>
      <c r="O19" s="136">
        <f t="shared" si="4"/>
        <v>32782.537744739995</v>
      </c>
      <c r="P19" s="136">
        <f t="shared" si="4"/>
        <v>33438.188499634802</v>
      </c>
      <c r="R19" s="50"/>
    </row>
    <row r="20" spans="1:19">
      <c r="A20" s="89"/>
      <c r="K20" s="24"/>
      <c r="R20" s="50"/>
    </row>
    <row r="21" spans="1:19">
      <c r="A21" s="89"/>
      <c r="B21" t="s">
        <v>105</v>
      </c>
      <c r="I21" s="5">
        <f>I14-I19</f>
        <v>7495</v>
      </c>
      <c r="J21" s="5">
        <f>J14-J19</f>
        <v>11398</v>
      </c>
      <c r="K21" s="504">
        <f>K14-K19</f>
        <v>12077</v>
      </c>
      <c r="L21" s="5">
        <f>L14-L19</f>
        <v>11305.804753092805</v>
      </c>
      <c r="M21" s="5">
        <f t="shared" ref="M21:P21" si="5">M14-M19</f>
        <v>10762.247140361029</v>
      </c>
      <c r="N21" s="5">
        <f t="shared" si="5"/>
        <v>11420.456504051446</v>
      </c>
      <c r="O21" s="5">
        <f t="shared" si="5"/>
        <v>12096.043495015663</v>
      </c>
      <c r="P21" s="5">
        <f t="shared" si="5"/>
        <v>12789.355665799158</v>
      </c>
      <c r="R21" s="50"/>
    </row>
    <row r="22" spans="1:19">
      <c r="A22" s="89"/>
      <c r="K22" s="24"/>
      <c r="L22" s="13"/>
      <c r="M22" s="13"/>
      <c r="N22" s="13"/>
      <c r="O22" s="13"/>
      <c r="P22" s="13"/>
      <c r="R22" s="50"/>
    </row>
    <row r="23" spans="1:19" s="7" customFormat="1">
      <c r="A23" s="89" t="s">
        <v>118</v>
      </c>
      <c r="B23" s="35" t="s">
        <v>220</v>
      </c>
      <c r="C23" s="35"/>
      <c r="D23" s="35"/>
      <c r="E23" s="35"/>
      <c r="F23" s="35"/>
      <c r="G23" s="35"/>
      <c r="H23" s="35"/>
      <c r="I23" s="35"/>
      <c r="J23" s="137">
        <f>I21-J21</f>
        <v>-3903</v>
      </c>
      <c r="K23" s="505">
        <f>J21-K21</f>
        <v>-679</v>
      </c>
      <c r="L23" s="137">
        <f>K21-L21</f>
        <v>771.19524690719481</v>
      </c>
      <c r="M23" s="137">
        <f>L21-M21</f>
        <v>543.55761273177632</v>
      </c>
      <c r="N23" s="137">
        <f t="shared" ref="N23:P23" si="6">M21-N21</f>
        <v>-658.20936369041738</v>
      </c>
      <c r="O23" s="137">
        <f t="shared" si="6"/>
        <v>-675.58699096421697</v>
      </c>
      <c r="P23" s="137">
        <f t="shared" si="6"/>
        <v>-693.31217078349437</v>
      </c>
      <c r="R23" s="50"/>
    </row>
    <row r="24" spans="1:19">
      <c r="A24" s="89"/>
      <c r="K24" s="24"/>
      <c r="R24" s="50"/>
    </row>
    <row r="25" spans="1:19">
      <c r="A25" s="89"/>
      <c r="B25" s="4" t="s">
        <v>106</v>
      </c>
      <c r="K25" s="24"/>
      <c r="R25" s="50"/>
    </row>
    <row r="26" spans="1:19">
      <c r="A26" s="89" t="s">
        <v>118</v>
      </c>
      <c r="B26" s="4"/>
      <c r="C26" s="33" t="s">
        <v>4</v>
      </c>
      <c r="D26" s="33"/>
      <c r="E26" s="33"/>
      <c r="F26" s="33"/>
      <c r="G26" s="380">
        <v>365</v>
      </c>
      <c r="H26" s="86" t="s">
        <v>5</v>
      </c>
      <c r="K26" s="24"/>
      <c r="R26" s="50"/>
    </row>
    <row r="27" spans="1:19">
      <c r="C27" t="str">
        <f>C11&amp;" (collection period in days)"</f>
        <v>Cash (collection period in days)</v>
      </c>
      <c r="I27" s="64">
        <f t="shared" ref="I27:K28" si="7">I11/I7*days</f>
        <v>1.7281028068988842</v>
      </c>
      <c r="J27" s="6">
        <f t="shared" si="7"/>
        <v>1.6428382314005825</v>
      </c>
      <c r="K27" s="506">
        <f t="shared" si="7"/>
        <v>2.5060187249219794</v>
      </c>
      <c r="L27" s="108">
        <v>2</v>
      </c>
      <c r="M27" s="6">
        <f t="shared" ref="M27:P32" si="8">L27</f>
        <v>2</v>
      </c>
      <c r="N27" s="6">
        <f t="shared" si="8"/>
        <v>2</v>
      </c>
      <c r="O27" s="6">
        <f t="shared" si="8"/>
        <v>2</v>
      </c>
      <c r="P27" s="6">
        <f t="shared" si="8"/>
        <v>2</v>
      </c>
      <c r="R27" s="50"/>
      <c r="S27" s="50"/>
    </row>
    <row r="28" spans="1:19">
      <c r="A28" s="89"/>
      <c r="C28" t="str">
        <f>C12&amp;" (days outstanding)"</f>
        <v>Premiums Receivable (days outstanding)</v>
      </c>
      <c r="I28" s="64">
        <f t="shared" si="7"/>
        <v>116.46346767178893</v>
      </c>
      <c r="J28" s="6">
        <f t="shared" si="7"/>
        <v>122.34604339502233</v>
      </c>
      <c r="K28" s="506">
        <f t="shared" si="7"/>
        <v>110.86474842283428</v>
      </c>
      <c r="L28" s="108">
        <v>110</v>
      </c>
      <c r="M28" s="6">
        <f t="shared" si="8"/>
        <v>110</v>
      </c>
      <c r="N28" s="6">
        <f t="shared" si="8"/>
        <v>110</v>
      </c>
      <c r="O28" s="6">
        <f t="shared" si="8"/>
        <v>110</v>
      </c>
      <c r="P28" s="6">
        <f t="shared" si="8"/>
        <v>110</v>
      </c>
      <c r="R28" s="50"/>
      <c r="S28" s="50"/>
    </row>
    <row r="29" spans="1:19">
      <c r="A29" s="89"/>
      <c r="C29" t="str">
        <f>C13&amp;" (as % of sales)"</f>
        <v>Investments (as % of sales)</v>
      </c>
      <c r="I29" s="62">
        <f>I13/I7</f>
        <v>3.0656070341562396</v>
      </c>
      <c r="J29" s="138">
        <f>J13/J7</f>
        <v>3.5377283558379666</v>
      </c>
      <c r="K29" s="507">
        <f>K13/K7</f>
        <v>3.5815425769059295</v>
      </c>
      <c r="L29" s="1138">
        <f t="shared" ref="L29:P29" si="9">L13/L7</f>
        <v>3.5498090521815504</v>
      </c>
      <c r="M29" s="252">
        <f t="shared" si="9"/>
        <v>3.4064453810449851</v>
      </c>
      <c r="N29" s="138">
        <f t="shared" si="9"/>
        <v>3.4433244625474906</v>
      </c>
      <c r="O29" s="138">
        <f t="shared" si="9"/>
        <v>3.479824337251157</v>
      </c>
      <c r="P29" s="138">
        <f t="shared" si="9"/>
        <v>3.5159456972021137</v>
      </c>
      <c r="R29" s="50"/>
      <c r="S29" s="50"/>
    </row>
    <row r="30" spans="1:19" ht="13" customHeight="1">
      <c r="A30" s="89"/>
      <c r="I30" s="33"/>
      <c r="K30" s="24"/>
      <c r="M30" s="6"/>
      <c r="N30" s="6"/>
      <c r="O30" s="6"/>
      <c r="P30" s="6"/>
      <c r="R30" s="50"/>
      <c r="S30" s="50"/>
    </row>
    <row r="31" spans="1:19">
      <c r="A31" s="89" t="s">
        <v>118</v>
      </c>
      <c r="C31" t="str">
        <f>C16&amp;" (x losses and loss expenses)"</f>
        <v>Unpaid Losses and Loss Expenses (x losses and loss expenses)</v>
      </c>
      <c r="I31" s="64">
        <f>I16/I8</f>
        <v>3.2425340678457526</v>
      </c>
      <c r="J31" s="6">
        <f t="shared" ref="J31" si="10">J16/J8</f>
        <v>3.6437460114869178</v>
      </c>
      <c r="K31" s="506">
        <f>K16/K8</f>
        <v>3.5013078935220805</v>
      </c>
      <c r="L31" s="108">
        <v>3.5</v>
      </c>
      <c r="M31" s="6">
        <f>L31</f>
        <v>3.5</v>
      </c>
      <c r="N31" s="6">
        <f t="shared" ref="N31:P31" si="11">M31</f>
        <v>3.5</v>
      </c>
      <c r="O31" s="6">
        <f t="shared" si="11"/>
        <v>3.5</v>
      </c>
      <c r="P31" s="6">
        <f t="shared" si="11"/>
        <v>3.5</v>
      </c>
      <c r="R31" s="50"/>
      <c r="S31" s="50"/>
    </row>
    <row r="32" spans="1:19">
      <c r="A32" s="89"/>
      <c r="C32" s="33" t="str">
        <f>C17&amp;" (as % premiums earned)"</f>
        <v>Unearned Premiums (as % premiums earned)</v>
      </c>
      <c r="D32" s="33"/>
      <c r="E32" s="33"/>
      <c r="F32" s="33"/>
      <c r="G32" s="33"/>
      <c r="I32" s="211">
        <f>I17/I7</f>
        <v>0.53829895164017583</v>
      </c>
      <c r="J32" s="227">
        <f t="shared" ref="J32:K32" si="12">J17/J7</f>
        <v>0.54302356367487425</v>
      </c>
      <c r="K32" s="253">
        <f t="shared" si="12"/>
        <v>0.54685688809629962</v>
      </c>
      <c r="L32" s="436">
        <v>0.54</v>
      </c>
      <c r="M32" s="227">
        <f>L32</f>
        <v>0.54</v>
      </c>
      <c r="N32" s="227">
        <f t="shared" si="8"/>
        <v>0.54</v>
      </c>
      <c r="O32" s="227">
        <f t="shared" si="8"/>
        <v>0.54</v>
      </c>
      <c r="P32" s="227">
        <f t="shared" si="8"/>
        <v>0.54</v>
      </c>
      <c r="R32" s="50"/>
      <c r="S32" s="50"/>
    </row>
    <row r="33" spans="1:18">
      <c r="A33" s="89"/>
      <c r="C33" s="33" t="str">
        <f>C18&amp;" (as % of sales)"</f>
        <v>Other current liabilities (as % of sales)</v>
      </c>
      <c r="I33" s="62">
        <f>I18/I7</f>
        <v>0.19343929658437606</v>
      </c>
      <c r="J33" s="138">
        <f t="shared" ref="J33:K33" si="13">J18/J7</f>
        <v>0.16309240137675404</v>
      </c>
      <c r="K33" s="507">
        <f t="shared" si="13"/>
        <v>0.11172536781096745</v>
      </c>
      <c r="L33" s="436">
        <v>0.12</v>
      </c>
      <c r="M33" s="468">
        <f>L33</f>
        <v>0.12</v>
      </c>
      <c r="N33" s="468">
        <f>M33</f>
        <v>0.12</v>
      </c>
      <c r="O33" s="468">
        <f>N33</f>
        <v>0.12</v>
      </c>
      <c r="P33" s="468">
        <f>O33</f>
        <v>0.12</v>
      </c>
      <c r="R33" s="50"/>
    </row>
    <row r="34" spans="1:18">
      <c r="A34" s="89"/>
      <c r="C34" s="641"/>
      <c r="K34" s="207"/>
      <c r="R34" s="50"/>
    </row>
    <row r="35" spans="1:18">
      <c r="A35" s="89"/>
      <c r="K35" s="207"/>
      <c r="R35" s="50"/>
    </row>
    <row r="36" spans="1:18" collapsed="1">
      <c r="A36" s="89" t="s">
        <v>118</v>
      </c>
      <c r="B36" s="89" t="s">
        <v>131</v>
      </c>
      <c r="C36" s="13"/>
      <c r="D36" s="13"/>
      <c r="E36" s="13"/>
      <c r="F36" s="13"/>
      <c r="G36" s="13"/>
      <c r="H36" s="13"/>
      <c r="R36" s="50"/>
    </row>
    <row r="37" spans="1:18">
      <c r="A37" s="89"/>
      <c r="L37" s="33"/>
      <c r="R37" s="50"/>
    </row>
  </sheetData>
  <customSheetViews>
    <customSheetView guid="{5A4827F7-D52D-44AD-B257-2AB13F875B96}" showGridLines="0" fitToPage="1" topLeftCell="A5">
      <selection activeCell="L11" sqref="L11"/>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pageSetUpPr fitToPage="1"/>
  </sheetPr>
  <dimension ref="A1:T27"/>
  <sheetViews>
    <sheetView showGridLines="0" workbookViewId="0">
      <selection activeCell="L8" sqref="L8"/>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0" ht="18.75" thickBot="1">
      <c r="A1" s="89"/>
      <c r="B1" s="1" t="str">
        <f>"Investment Schedule for "&amp;Name</f>
        <v>Investment Schedule for Chubb Corporation</v>
      </c>
    </row>
    <row r="2" spans="1:20">
      <c r="A2" s="89"/>
      <c r="B2" s="2" t="str">
        <f>Subheader</f>
        <v>Dollars in millions, except per share</v>
      </c>
      <c r="C2" s="3"/>
      <c r="D2" s="3"/>
      <c r="E2" s="3"/>
      <c r="F2" s="3"/>
      <c r="G2" s="3"/>
      <c r="H2" s="3"/>
      <c r="I2" s="3"/>
      <c r="J2" s="3"/>
      <c r="K2" s="3"/>
      <c r="L2" s="3"/>
      <c r="M2" s="3"/>
      <c r="N2" s="3"/>
      <c r="O2" s="3"/>
      <c r="P2" s="3"/>
    </row>
    <row r="3" spans="1:20">
      <c r="A3" s="89"/>
      <c r="B3" s="542"/>
    </row>
    <row r="4" spans="1:20">
      <c r="A4" s="89"/>
      <c r="I4" s="20" t="str">
        <f>IS!I$4</f>
        <v>Historical Year Ending December 31,</v>
      </c>
      <c r="J4" s="20"/>
      <c r="K4" s="20"/>
      <c r="L4" s="20" t="str">
        <f>IS!L$4</f>
        <v>Projected Year Ending December 31,</v>
      </c>
      <c r="M4" s="20"/>
      <c r="N4" s="20"/>
      <c r="O4" s="20"/>
      <c r="P4" s="20"/>
    </row>
    <row r="5" spans="1:20">
      <c r="A5" s="89"/>
      <c r="I5" s="114">
        <f>IS!I$5</f>
        <v>2008</v>
      </c>
      <c r="J5" s="114">
        <f>IS!J$5</f>
        <v>2009</v>
      </c>
      <c r="K5" s="152">
        <f>IS!K$5</f>
        <v>2010</v>
      </c>
      <c r="L5" s="114">
        <f>IS!L$5</f>
        <v>2011</v>
      </c>
      <c r="M5" s="114">
        <f>IS!M$5</f>
        <v>2012</v>
      </c>
      <c r="N5" s="114">
        <f>IS!N$5</f>
        <v>2013</v>
      </c>
      <c r="O5" s="114">
        <f>IS!O$5</f>
        <v>2014</v>
      </c>
      <c r="P5" s="114">
        <f>IS!P$5</f>
        <v>2015</v>
      </c>
      <c r="Q5" s="140"/>
    </row>
    <row r="6" spans="1:20">
      <c r="A6" s="89"/>
      <c r="K6" s="24"/>
      <c r="Q6" s="140"/>
    </row>
    <row r="7" spans="1:20" s="5" customFormat="1">
      <c r="A7" s="89"/>
      <c r="B7" s="5" t="s">
        <v>190</v>
      </c>
      <c r="I7" s="28">
        <f>IS!I7</f>
        <v>11828</v>
      </c>
      <c r="J7" s="28">
        <f>IS!J7</f>
        <v>11331</v>
      </c>
      <c r="K7" s="135">
        <f>IS!K7</f>
        <v>11215</v>
      </c>
      <c r="L7" s="28">
        <f>IS!L7</f>
        <v>11215</v>
      </c>
      <c r="M7" s="28">
        <f>IS!M7</f>
        <v>11775.75</v>
      </c>
      <c r="N7" s="28">
        <f>IS!N7</f>
        <v>12011.264999999999</v>
      </c>
      <c r="O7" s="28">
        <f>IS!O7</f>
        <v>12251.490299999999</v>
      </c>
      <c r="P7" s="28">
        <f>IS!P7</f>
        <v>12496.520106</v>
      </c>
      <c r="Q7" s="140"/>
      <c r="R7"/>
    </row>
    <row r="8" spans="1:20">
      <c r="A8" s="89" t="s">
        <v>118</v>
      </c>
      <c r="B8" t="s">
        <v>130</v>
      </c>
      <c r="I8" s="63">
        <f>workingcap!I23</f>
        <v>0</v>
      </c>
      <c r="J8" s="80">
        <f>workingcap!J23</f>
        <v>-3903</v>
      </c>
      <c r="K8" s="529">
        <f>workingcap!K23</f>
        <v>-679</v>
      </c>
      <c r="L8" s="104">
        <f>workingcap!L23</f>
        <v>771.19524690719481</v>
      </c>
      <c r="M8" s="6">
        <f>workingcap!M23</f>
        <v>543.55761273177632</v>
      </c>
      <c r="N8" s="6">
        <f>workingcap!N23</f>
        <v>-658.20936369041738</v>
      </c>
      <c r="O8" s="6">
        <f>workingcap!O23</f>
        <v>-675.58699096421697</v>
      </c>
      <c r="P8" s="6">
        <f>workingcap!P23</f>
        <v>-693.31217078349437</v>
      </c>
      <c r="Q8" s="140"/>
      <c r="R8" s="141"/>
      <c r="S8" s="50"/>
    </row>
    <row r="9" spans="1:20">
      <c r="A9" s="89"/>
      <c r="B9" s="14" t="s">
        <v>6</v>
      </c>
      <c r="I9" s="143">
        <f>I8/I7</f>
        <v>0</v>
      </c>
      <c r="J9" s="143">
        <f>J8/J7</f>
        <v>-0.34445326979083929</v>
      </c>
      <c r="K9" s="144">
        <f>K8/K7</f>
        <v>-6.0543914400356662E-2</v>
      </c>
      <c r="L9" s="491">
        <f>L8/L7</f>
        <v>6.8764622996629055E-2</v>
      </c>
      <c r="M9" s="145">
        <v>0</v>
      </c>
      <c r="N9" s="143">
        <f>M9</f>
        <v>0</v>
      </c>
      <c r="O9" s="143">
        <f>N9</f>
        <v>0</v>
      </c>
      <c r="P9" s="143">
        <f>O9</f>
        <v>0</v>
      </c>
      <c r="Q9" s="50"/>
      <c r="R9" s="139"/>
      <c r="S9" s="50"/>
      <c r="T9" s="50"/>
    </row>
    <row r="10" spans="1:20">
      <c r="A10" s="89"/>
      <c r="F10" s="542"/>
      <c r="K10" s="507"/>
      <c r="L10" s="138"/>
      <c r="M10" s="146"/>
    </row>
    <row r="11" spans="1:20" s="18" customFormat="1">
      <c r="A11" s="101" t="s">
        <v>118</v>
      </c>
      <c r="B11" s="18" t="s">
        <v>7</v>
      </c>
      <c r="I11" s="36">
        <f>IS!I17</f>
        <v>69</v>
      </c>
      <c r="J11" s="36">
        <f>IS!J17</f>
        <v>64</v>
      </c>
      <c r="K11" s="382">
        <f>IS!K17</f>
        <v>69</v>
      </c>
      <c r="L11" s="109">
        <v>0</v>
      </c>
      <c r="M11" s="147">
        <f>M12*M8</f>
        <v>0</v>
      </c>
      <c r="N11" s="147">
        <f>N12*N8</f>
        <v>0</v>
      </c>
      <c r="O11" s="147">
        <f>O12*O8</f>
        <v>0</v>
      </c>
      <c r="P11" s="147">
        <f>P12*P8</f>
        <v>0</v>
      </c>
      <c r="R11" s="141" t="s">
        <v>208</v>
      </c>
      <c r="T11" s="50"/>
    </row>
    <row r="12" spans="1:20">
      <c r="A12" s="89"/>
      <c r="B12" s="14" t="s">
        <v>107</v>
      </c>
      <c r="I12" s="143" t="s">
        <v>699</v>
      </c>
      <c r="J12" s="143">
        <f>J11/J8</f>
        <v>-1.6397642838841917E-2</v>
      </c>
      <c r="K12" s="144">
        <f>K11/K8</f>
        <v>-0.101620029455081</v>
      </c>
      <c r="L12" s="143">
        <f>L11/L8</f>
        <v>0</v>
      </c>
      <c r="M12" s="145">
        <v>0</v>
      </c>
      <c r="N12" s="143">
        <f>M12+$R12</f>
        <v>0</v>
      </c>
      <c r="O12" s="143">
        <f>N12+$R12</f>
        <v>0</v>
      </c>
      <c r="P12" s="143">
        <f>O12+$R12</f>
        <v>0</v>
      </c>
      <c r="R12" s="139">
        <v>0</v>
      </c>
    </row>
    <row r="13" spans="1:20">
      <c r="A13" s="89"/>
      <c r="B13" s="14" t="s">
        <v>108</v>
      </c>
      <c r="I13" s="143">
        <f>I11/I19</f>
        <v>1.90292333149476E-3</v>
      </c>
      <c r="J13" s="143">
        <f t="shared" ref="J13:P13" si="0">J11/J19</f>
        <v>1.5965673801327147E-3</v>
      </c>
      <c r="K13" s="144">
        <f t="shared" si="0"/>
        <v>1.7178280678168646E-3</v>
      </c>
      <c r="L13" s="143">
        <f t="shared" si="0"/>
        <v>0</v>
      </c>
      <c r="M13" s="143">
        <f t="shared" si="0"/>
        <v>0</v>
      </c>
      <c r="N13" s="143">
        <f t="shared" si="0"/>
        <v>0</v>
      </c>
      <c r="O13" s="143">
        <f t="shared" si="0"/>
        <v>0</v>
      </c>
      <c r="P13" s="143">
        <f t="shared" si="0"/>
        <v>0</v>
      </c>
    </row>
    <row r="14" spans="1:20">
      <c r="A14" s="89"/>
      <c r="K14" s="24"/>
      <c r="L14" s="227"/>
      <c r="M14" s="227"/>
      <c r="N14" s="227"/>
      <c r="O14" s="227"/>
      <c r="P14" s="227"/>
    </row>
    <row r="15" spans="1:20">
      <c r="A15" s="89"/>
      <c r="B15" s="93" t="s">
        <v>1055</v>
      </c>
      <c r="I15" s="37"/>
      <c r="J15" s="37"/>
      <c r="K15" s="148"/>
      <c r="L15" s="5">
        <f>K19</f>
        <v>40167</v>
      </c>
      <c r="M15" s="5">
        <f>L19</f>
        <v>39811.10852021609</v>
      </c>
      <c r="N15" s="5">
        <f>M19</f>
        <v>40113.449195840483</v>
      </c>
      <c r="O15" s="5">
        <f>N19</f>
        <v>41358.682600640481</v>
      </c>
      <c r="P15" s="5">
        <f>O19</f>
        <v>42633.03411353648</v>
      </c>
    </row>
    <row r="16" spans="1:20">
      <c r="A16" s="89"/>
      <c r="C16" s="93" t="s">
        <v>1058</v>
      </c>
      <c r="I16" s="38" t="s">
        <v>216</v>
      </c>
      <c r="J16" s="38"/>
      <c r="K16" s="149"/>
      <c r="L16" s="6">
        <f>SUM(equity!L9:L13)</f>
        <v>-355.89147978390696</v>
      </c>
      <c r="M16" s="6">
        <f>SUM(equity!M9:M13)</f>
        <v>302.34067562439509</v>
      </c>
      <c r="N16" s="6">
        <f>SUM(equity!N9:N13)</f>
        <v>1245.2334048000002</v>
      </c>
      <c r="O16" s="6">
        <f>SUM(equity!O9:O13)</f>
        <v>1274.3515128960007</v>
      </c>
      <c r="P16" s="6">
        <f>SUM(equity!P9:P13)</f>
        <v>1304.0519831539204</v>
      </c>
    </row>
    <row r="17" spans="1:16">
      <c r="A17" s="89"/>
      <c r="C17" s="93" t="s">
        <v>1056</v>
      </c>
      <c r="I17" s="37"/>
      <c r="J17" s="37"/>
      <c r="K17" s="148"/>
      <c r="L17" s="6">
        <v>0</v>
      </c>
      <c r="M17" s="6">
        <v>0</v>
      </c>
      <c r="N17" s="6">
        <v>0</v>
      </c>
      <c r="O17" s="6">
        <v>0</v>
      </c>
      <c r="P17" s="6">
        <v>0</v>
      </c>
    </row>
    <row r="18" spans="1:16">
      <c r="A18" s="89"/>
      <c r="C18" t="s">
        <v>8</v>
      </c>
      <c r="I18" s="37"/>
      <c r="J18" s="37"/>
      <c r="K18" s="148"/>
      <c r="L18" s="108">
        <v>0</v>
      </c>
      <c r="M18" s="108">
        <v>0</v>
      </c>
      <c r="N18" s="108">
        <v>0</v>
      </c>
      <c r="O18" s="108">
        <v>0</v>
      </c>
      <c r="P18" s="108">
        <v>0</v>
      </c>
    </row>
    <row r="19" spans="1:16">
      <c r="A19" s="89" t="s">
        <v>118</v>
      </c>
      <c r="B19" s="93" t="s">
        <v>1059</v>
      </c>
      <c r="I19" s="150">
        <f>BS!I13</f>
        <v>36260</v>
      </c>
      <c r="J19" s="150">
        <f>BS!J13</f>
        <v>40086</v>
      </c>
      <c r="K19" s="151">
        <f>BS!K13</f>
        <v>40167</v>
      </c>
      <c r="L19" s="136">
        <f>SUM(L15:L18)</f>
        <v>39811.10852021609</v>
      </c>
      <c r="M19" s="136">
        <f>SUM(M15:M18)</f>
        <v>40113.449195840483</v>
      </c>
      <c r="N19" s="136">
        <f>SUM(N15:N18)</f>
        <v>41358.682600640481</v>
      </c>
      <c r="O19" s="136">
        <f>SUM(O15:O18)</f>
        <v>42633.03411353648</v>
      </c>
      <c r="P19" s="136">
        <f>SUM(P15:P18)</f>
        <v>43937.0860966904</v>
      </c>
    </row>
    <row r="20" spans="1:16">
      <c r="A20" s="89"/>
      <c r="K20" s="13"/>
      <c r="L20" s="13"/>
    </row>
    <row r="21" spans="1:16">
      <c r="A21" s="89"/>
      <c r="K21" s="13"/>
    </row>
    <row r="22" spans="1:16">
      <c r="A22" s="89" t="s">
        <v>118</v>
      </c>
      <c r="B22" s="89" t="s">
        <v>62</v>
      </c>
      <c r="K22" s="13"/>
    </row>
    <row r="27" spans="1:16" ht="13" customHeight="1">
      <c r="L27" s="227"/>
    </row>
  </sheetData>
  <customSheetViews>
    <customSheetView guid="{5A4827F7-D52D-44AD-B257-2AB13F875B96}" showGridLines="0" fitToPage="1">
      <selection activeCell="L8" sqref="L8"/>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pageSetUpPr fitToPage="1"/>
  </sheetPr>
  <dimension ref="A1:R21"/>
  <sheetViews>
    <sheetView showGridLines="0" workbookViewId="0">
      <selection activeCell="J31" sqref="J31"/>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"Amortization Schedule"</f>
        <v>Amortization Schedule</v>
      </c>
    </row>
    <row r="2" spans="1:18">
      <c r="A2" s="89"/>
      <c r="B2" s="2" t="str">
        <f>Subheader</f>
        <v>Dollars in millions, except per share</v>
      </c>
      <c r="C2" s="3"/>
      <c r="D2" s="3"/>
      <c r="E2" s="3"/>
      <c r="F2" s="3"/>
      <c r="G2" s="3"/>
      <c r="H2" s="3"/>
      <c r="I2" s="3"/>
      <c r="J2" s="3"/>
      <c r="K2" s="3"/>
      <c r="L2" s="3"/>
      <c r="M2" s="3"/>
      <c r="N2" s="3"/>
      <c r="O2" s="3"/>
      <c r="P2" s="3"/>
    </row>
    <row r="3" spans="1:18">
      <c r="A3" s="89"/>
      <c r="B3" s="542"/>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c r="Q5" s="140"/>
    </row>
    <row r="6" spans="1:18">
      <c r="A6" s="89"/>
      <c r="B6" s="542"/>
      <c r="K6" s="24"/>
      <c r="Q6" s="140"/>
    </row>
    <row r="7" spans="1:18">
      <c r="A7" s="89"/>
      <c r="B7" s="19" t="s">
        <v>190</v>
      </c>
      <c r="I7" s="28">
        <f>IS!I7</f>
        <v>11828</v>
      </c>
      <c r="J7" s="28">
        <f>IS!J7</f>
        <v>11331</v>
      </c>
      <c r="K7" s="135">
        <f>IS!K7</f>
        <v>11215</v>
      </c>
      <c r="L7" s="28">
        <f>IS!L7</f>
        <v>11215</v>
      </c>
      <c r="M7" s="28">
        <f>IS!M7</f>
        <v>11775.75</v>
      </c>
      <c r="N7" s="28">
        <f>IS!N7</f>
        <v>12011.264999999999</v>
      </c>
      <c r="O7" s="28">
        <f>IS!O7</f>
        <v>12251.490299999999</v>
      </c>
      <c r="P7" s="28">
        <f>IS!P7</f>
        <v>12496.520106</v>
      </c>
      <c r="Q7" s="140"/>
    </row>
    <row r="8" spans="1:18">
      <c r="A8" s="89" t="s">
        <v>118</v>
      </c>
      <c r="B8" s="18" t="s">
        <v>109</v>
      </c>
      <c r="G8" s="33"/>
      <c r="H8" s="33"/>
      <c r="I8" s="608">
        <v>0</v>
      </c>
      <c r="J8" s="608">
        <v>0</v>
      </c>
      <c r="K8" s="154">
        <v>9</v>
      </c>
      <c r="L8" s="647">
        <v>0</v>
      </c>
      <c r="M8" s="64">
        <f>L8</f>
        <v>0</v>
      </c>
      <c r="N8" s="64">
        <f>M8</f>
        <v>0</v>
      </c>
      <c r="O8" s="64">
        <f>N8</f>
        <v>0</v>
      </c>
      <c r="P8" s="64">
        <f>O8</f>
        <v>0</v>
      </c>
      <c r="Q8" s="492"/>
      <c r="R8" s="493"/>
    </row>
    <row r="9" spans="1:18">
      <c r="A9" s="89"/>
      <c r="C9" s="14" t="s">
        <v>110</v>
      </c>
      <c r="I9" s="143">
        <f t="shared" ref="I9:P9" si="0">I8/I7</f>
        <v>0</v>
      </c>
      <c r="J9" s="143">
        <f t="shared" si="0"/>
        <v>0</v>
      </c>
      <c r="K9" s="144">
        <f t="shared" si="0"/>
        <v>8.0249665626393228E-4</v>
      </c>
      <c r="L9" s="491">
        <f t="shared" si="0"/>
        <v>0</v>
      </c>
      <c r="M9" s="143">
        <f t="shared" si="0"/>
        <v>0</v>
      </c>
      <c r="N9" s="143">
        <f t="shared" si="0"/>
        <v>0</v>
      </c>
      <c r="O9" s="143">
        <f t="shared" si="0"/>
        <v>0</v>
      </c>
      <c r="P9" s="143">
        <f t="shared" si="0"/>
        <v>0</v>
      </c>
    </row>
    <row r="10" spans="1:18">
      <c r="A10" s="89"/>
      <c r="K10" s="24"/>
    </row>
    <row r="11" spans="1:18">
      <c r="A11" s="89"/>
      <c r="B11" s="376" t="s">
        <v>240</v>
      </c>
      <c r="C11" s="376"/>
      <c r="I11" s="28">
        <f>IS!I18</f>
        <v>0</v>
      </c>
      <c r="J11" s="28">
        <f>IS!J18</f>
        <v>0</v>
      </c>
      <c r="K11" s="135">
        <f>IS!K18</f>
        <v>0</v>
      </c>
      <c r="L11" s="157">
        <v>0</v>
      </c>
      <c r="M11" s="490">
        <f>L11</f>
        <v>0</v>
      </c>
      <c r="N11" s="490">
        <f>M11</f>
        <v>0</v>
      </c>
      <c r="O11" s="490">
        <f>N11</f>
        <v>0</v>
      </c>
      <c r="P11" s="490">
        <f>O11</f>
        <v>0</v>
      </c>
    </row>
    <row r="12" spans="1:18">
      <c r="A12" s="89"/>
      <c r="C12" s="14" t="s">
        <v>241</v>
      </c>
      <c r="I12" s="322">
        <f t="shared" ref="I12:P12" si="1">IF(I18=0,"--  ",I11/I18)</f>
        <v>0</v>
      </c>
      <c r="J12" s="322">
        <f t="shared" si="1"/>
        <v>0</v>
      </c>
      <c r="K12" s="155">
        <f t="shared" si="1"/>
        <v>0</v>
      </c>
      <c r="L12" s="322">
        <f t="shared" si="1"/>
        <v>0</v>
      </c>
      <c r="M12" s="322">
        <f t="shared" si="1"/>
        <v>0</v>
      </c>
      <c r="N12" s="322">
        <f t="shared" si="1"/>
        <v>0</v>
      </c>
      <c r="O12" s="322">
        <f t="shared" si="1"/>
        <v>0</v>
      </c>
      <c r="P12" s="322">
        <f t="shared" si="1"/>
        <v>0</v>
      </c>
    </row>
    <row r="13" spans="1:18">
      <c r="A13" s="89"/>
      <c r="K13" s="24"/>
    </row>
    <row r="14" spans="1:18">
      <c r="A14" s="89"/>
      <c r="B14" t="s">
        <v>111</v>
      </c>
      <c r="I14" s="37"/>
      <c r="J14" s="37"/>
      <c r="K14" s="148"/>
      <c r="L14" s="5">
        <f>K18</f>
        <v>1896</v>
      </c>
      <c r="M14" s="5">
        <f>L18</f>
        <v>1896</v>
      </c>
      <c r="N14" s="5">
        <f>M18</f>
        <v>1896</v>
      </c>
      <c r="O14" s="5">
        <f>N18</f>
        <v>1896</v>
      </c>
      <c r="P14" s="5">
        <f>O18</f>
        <v>1896</v>
      </c>
    </row>
    <row r="15" spans="1:18">
      <c r="A15" s="89"/>
      <c r="C15" t="s">
        <v>109</v>
      </c>
      <c r="I15" s="38" t="s">
        <v>216</v>
      </c>
      <c r="J15" s="38"/>
      <c r="K15" s="149"/>
      <c r="L15" s="6">
        <f>L8</f>
        <v>0</v>
      </c>
      <c r="M15" s="6">
        <f>M8</f>
        <v>0</v>
      </c>
      <c r="N15" s="6">
        <f>N8</f>
        <v>0</v>
      </c>
      <c r="O15" s="6">
        <f>O8</f>
        <v>0</v>
      </c>
      <c r="P15" s="6">
        <f>P8</f>
        <v>0</v>
      </c>
    </row>
    <row r="16" spans="1:18">
      <c r="A16" s="89"/>
      <c r="C16" t="s">
        <v>112</v>
      </c>
      <c r="I16" s="37"/>
      <c r="J16" s="37"/>
      <c r="K16" s="148"/>
      <c r="L16" s="6">
        <f>-L11</f>
        <v>0</v>
      </c>
      <c r="M16" s="6">
        <f>-M11</f>
        <v>0</v>
      </c>
      <c r="N16" s="6">
        <f>-N11</f>
        <v>0</v>
      </c>
      <c r="O16" s="6">
        <f>-O11</f>
        <v>0</v>
      </c>
      <c r="P16" s="6">
        <f>-P11</f>
        <v>0</v>
      </c>
    </row>
    <row r="17" spans="1:16">
      <c r="A17" s="89"/>
      <c r="C17" t="s">
        <v>113</v>
      </c>
      <c r="I17" s="37"/>
      <c r="J17" s="37"/>
      <c r="K17" s="148"/>
      <c r="L17" s="108">
        <v>0</v>
      </c>
      <c r="M17" s="108">
        <v>0</v>
      </c>
      <c r="N17" s="108">
        <v>0</v>
      </c>
      <c r="O17" s="108">
        <v>0</v>
      </c>
      <c r="P17" s="108">
        <v>0</v>
      </c>
    </row>
    <row r="18" spans="1:16">
      <c r="A18" s="89" t="s">
        <v>118</v>
      </c>
      <c r="B18" t="s">
        <v>114</v>
      </c>
      <c r="I18" s="150">
        <f>BS!I14</f>
        <v>2212</v>
      </c>
      <c r="J18" s="150">
        <f>BS!J14</f>
        <v>2053</v>
      </c>
      <c r="K18" s="151">
        <f>BS!K14</f>
        <v>1896</v>
      </c>
      <c r="L18" s="136">
        <f>SUM(L14:L17)</f>
        <v>1896</v>
      </c>
      <c r="M18" s="136">
        <f>SUM(M14:M17)</f>
        <v>1896</v>
      </c>
      <c r="N18" s="136">
        <f>SUM(N14:N17)</f>
        <v>1896</v>
      </c>
      <c r="O18" s="136">
        <f>SUM(O14:O17)</f>
        <v>1896</v>
      </c>
      <c r="P18" s="136">
        <f>SUM(P14:P17)</f>
        <v>1896</v>
      </c>
    </row>
    <row r="19" spans="1:16">
      <c r="A19" s="89"/>
    </row>
    <row r="20" spans="1:16">
      <c r="A20" s="89"/>
    </row>
    <row r="21" spans="1:16">
      <c r="A21" s="89" t="s">
        <v>118</v>
      </c>
      <c r="B21" s="89" t="s">
        <v>131</v>
      </c>
    </row>
  </sheetData>
  <customSheetViews>
    <customSheetView guid="{5A4827F7-D52D-44AD-B257-2AB13F875B96}" showGridLines="0" fitToPage="1">
      <selection activeCell="L14" sqref="L14:P14"/>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P21"/>
  <sheetViews>
    <sheetView showGridLines="0" workbookViewId="0">
      <selection activeCell="L9" sqref="L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6" ht="18.75" thickBot="1">
      <c r="A1" s="89"/>
      <c r="B1" s="1" t="str">
        <f>"Other Long-Term Items Schedule for "&amp;Name</f>
        <v>Other Long-Term Items Schedule for Chubb Corporation</v>
      </c>
    </row>
    <row r="2" spans="1:16">
      <c r="A2" s="89"/>
      <c r="B2" s="2" t="str">
        <f>Subheader</f>
        <v>Dollars in millions, except per share</v>
      </c>
      <c r="C2" s="3"/>
      <c r="D2" s="3"/>
      <c r="E2" s="3"/>
      <c r="F2" s="3"/>
      <c r="G2" s="3"/>
      <c r="H2" s="3"/>
      <c r="I2" s="3"/>
      <c r="J2" s="3"/>
      <c r="K2" s="3"/>
      <c r="L2" s="3"/>
      <c r="M2" s="3"/>
      <c r="N2" s="3"/>
      <c r="O2" s="3"/>
      <c r="P2" s="3"/>
    </row>
    <row r="3" spans="1:16">
      <c r="A3" s="89"/>
      <c r="B3" s="542"/>
    </row>
    <row r="4" spans="1:16">
      <c r="A4" s="89"/>
      <c r="I4" s="20" t="str">
        <f>IS!I$4</f>
        <v>Historical Year Ending December 31,</v>
      </c>
      <c r="J4" s="20"/>
      <c r="K4" s="20"/>
      <c r="L4" s="20" t="str">
        <f>IS!L$4</f>
        <v>Projected Year Ending December 31,</v>
      </c>
      <c r="M4" s="20"/>
      <c r="N4" s="20"/>
      <c r="O4" s="20"/>
      <c r="P4" s="20"/>
    </row>
    <row r="5" spans="1:16">
      <c r="A5" s="89"/>
      <c r="I5" s="114">
        <f>IS!I$5</f>
        <v>2008</v>
      </c>
      <c r="J5" s="114">
        <f>IS!J$5</f>
        <v>2009</v>
      </c>
      <c r="K5" s="152">
        <f>IS!K$5</f>
        <v>2010</v>
      </c>
      <c r="L5" s="114">
        <f>IS!L$5</f>
        <v>2011</v>
      </c>
      <c r="M5" s="114">
        <f>IS!M$5</f>
        <v>2012</v>
      </c>
      <c r="N5" s="114">
        <f>IS!N$5</f>
        <v>2013</v>
      </c>
      <c r="O5" s="114">
        <f>IS!O$5</f>
        <v>2014</v>
      </c>
      <c r="P5" s="114">
        <f>IS!P$5</f>
        <v>2015</v>
      </c>
    </row>
    <row r="6" spans="1:16">
      <c r="A6" s="89"/>
      <c r="I6" s="4"/>
      <c r="J6" s="4"/>
      <c r="K6" s="381"/>
      <c r="L6" s="4"/>
      <c r="M6" s="4"/>
      <c r="N6" s="4"/>
      <c r="O6" s="4"/>
      <c r="P6" s="4"/>
    </row>
    <row r="7" spans="1:16">
      <c r="A7" s="89"/>
      <c r="B7" s="4" t="s">
        <v>17</v>
      </c>
      <c r="I7" s="4"/>
      <c r="J7" s="4"/>
      <c r="K7" s="381"/>
      <c r="L7" s="4"/>
      <c r="M7" s="4"/>
      <c r="N7" s="4"/>
      <c r="O7" s="4"/>
      <c r="P7" s="4"/>
    </row>
    <row r="8" spans="1:16">
      <c r="A8" s="89" t="s">
        <v>118</v>
      </c>
      <c r="B8" s="4"/>
      <c r="C8" s="204" t="str">
        <f>BS!B15</f>
        <v>Investment Associated F.A.</v>
      </c>
      <c r="I8" s="28">
        <f>BS!I15</f>
        <v>435</v>
      </c>
      <c r="J8" s="28">
        <f>BS!J15</f>
        <v>460</v>
      </c>
      <c r="K8" s="382">
        <f>BS!K15</f>
        <v>452</v>
      </c>
      <c r="L8" s="157">
        <f>K8</f>
        <v>452</v>
      </c>
      <c r="M8" s="147">
        <f t="shared" ref="M8:P9" si="0">L8</f>
        <v>452</v>
      </c>
      <c r="N8" s="147">
        <f t="shared" si="0"/>
        <v>452</v>
      </c>
      <c r="O8" s="147">
        <f t="shared" si="0"/>
        <v>452</v>
      </c>
      <c r="P8" s="147">
        <f t="shared" si="0"/>
        <v>452</v>
      </c>
    </row>
    <row r="9" spans="1:16">
      <c r="A9" s="89"/>
      <c r="B9" s="4"/>
      <c r="C9" s="156" t="str">
        <f>BS!B16</f>
        <v>Other F.A.</v>
      </c>
      <c r="I9" s="29">
        <f>BS!I16</f>
        <v>3516</v>
      </c>
      <c r="J9" s="29">
        <f>BS!J16</f>
        <v>2580</v>
      </c>
      <c r="K9" s="245">
        <f>BS!K16</f>
        <v>2349</v>
      </c>
      <c r="L9" s="108">
        <f>K9</f>
        <v>2349</v>
      </c>
      <c r="M9" s="6">
        <f t="shared" si="0"/>
        <v>2349</v>
      </c>
      <c r="N9" s="6">
        <f t="shared" si="0"/>
        <v>2349</v>
      </c>
      <c r="O9" s="6">
        <f t="shared" si="0"/>
        <v>2349</v>
      </c>
      <c r="P9" s="6">
        <f t="shared" si="0"/>
        <v>2349</v>
      </c>
    </row>
    <row r="10" spans="1:16">
      <c r="A10" s="89"/>
      <c r="D10" t="s">
        <v>18</v>
      </c>
      <c r="I10" s="136">
        <f>SUM(I8:I9)</f>
        <v>3951</v>
      </c>
      <c r="J10" s="136">
        <f t="shared" ref="J10:P10" si="1">SUM(J8:J9)</f>
        <v>3040</v>
      </c>
      <c r="K10" s="379">
        <f t="shared" si="1"/>
        <v>2801</v>
      </c>
      <c r="L10" s="136">
        <f t="shared" si="1"/>
        <v>2801</v>
      </c>
      <c r="M10" s="136">
        <f t="shared" si="1"/>
        <v>2801</v>
      </c>
      <c r="N10" s="136">
        <f t="shared" si="1"/>
        <v>2801</v>
      </c>
      <c r="O10" s="136">
        <f t="shared" si="1"/>
        <v>2801</v>
      </c>
      <c r="P10" s="136">
        <f t="shared" si="1"/>
        <v>2801</v>
      </c>
    </row>
    <row r="11" spans="1:16">
      <c r="A11" s="89"/>
      <c r="D11" s="14" t="s">
        <v>19</v>
      </c>
      <c r="J11" s="158">
        <f>I10-J10</f>
        <v>911</v>
      </c>
      <c r="K11" s="383">
        <f t="shared" ref="K11:P11" si="2">J10-K10</f>
        <v>239</v>
      </c>
      <c r="L11" s="158">
        <f t="shared" si="2"/>
        <v>0</v>
      </c>
      <c r="M11" s="158">
        <f t="shared" si="2"/>
        <v>0</v>
      </c>
      <c r="N11" s="158">
        <f t="shared" si="2"/>
        <v>0</v>
      </c>
      <c r="O11" s="158">
        <f t="shared" si="2"/>
        <v>0</v>
      </c>
      <c r="P11" s="158">
        <f t="shared" si="2"/>
        <v>0</v>
      </c>
    </row>
    <row r="12" spans="1:16">
      <c r="A12" s="89"/>
      <c r="B12" s="159"/>
      <c r="C12" s="159"/>
      <c r="D12" s="159"/>
      <c r="K12" s="24"/>
    </row>
    <row r="13" spans="1:16">
      <c r="A13" s="89"/>
      <c r="B13" s="4" t="s">
        <v>20</v>
      </c>
      <c r="D13" s="14"/>
      <c r="K13" s="24"/>
    </row>
    <row r="14" spans="1:16">
      <c r="A14" s="89" t="s">
        <v>118</v>
      </c>
      <c r="C14" s="156" t="str">
        <f>BS!B26</f>
        <v>Other long-term liabilities  (used as plug)</v>
      </c>
      <c r="I14" s="28">
        <f>BS!I26</f>
        <v>0</v>
      </c>
      <c r="J14" s="28">
        <f>BS!J26</f>
        <v>0</v>
      </c>
      <c r="K14" s="135">
        <f>BS!K26</f>
        <v>148</v>
      </c>
      <c r="L14" s="109">
        <f>K14</f>
        <v>148</v>
      </c>
      <c r="M14" s="5">
        <f>L14</f>
        <v>148</v>
      </c>
      <c r="N14" s="5">
        <f>M14</f>
        <v>148</v>
      </c>
      <c r="O14" s="5">
        <f>N14</f>
        <v>148</v>
      </c>
      <c r="P14" s="5">
        <f>O14</f>
        <v>148</v>
      </c>
    </row>
    <row r="15" spans="1:16">
      <c r="A15" s="89"/>
      <c r="D15" t="s">
        <v>21</v>
      </c>
      <c r="I15" s="136">
        <f>I14</f>
        <v>0</v>
      </c>
      <c r="J15" s="136">
        <f t="shared" ref="J15:P15" si="3">J14</f>
        <v>0</v>
      </c>
      <c r="K15" s="379">
        <f t="shared" si="3"/>
        <v>148</v>
      </c>
      <c r="L15" s="136">
        <f t="shared" si="3"/>
        <v>148</v>
      </c>
      <c r="M15" s="136">
        <f t="shared" si="3"/>
        <v>148</v>
      </c>
      <c r="N15" s="136">
        <f t="shared" si="3"/>
        <v>148</v>
      </c>
      <c r="O15" s="136">
        <f t="shared" si="3"/>
        <v>148</v>
      </c>
      <c r="P15" s="136">
        <f t="shared" si="3"/>
        <v>148</v>
      </c>
    </row>
    <row r="16" spans="1:16">
      <c r="A16" s="89"/>
      <c r="C16" s="14"/>
      <c r="D16" s="14" t="s">
        <v>22</v>
      </c>
      <c r="J16" s="158">
        <f>J15-I15</f>
        <v>0</v>
      </c>
      <c r="K16" s="383">
        <f t="shared" ref="K16:P16" si="4">K15-J15</f>
        <v>148</v>
      </c>
      <c r="L16" s="158">
        <f t="shared" si="4"/>
        <v>0</v>
      </c>
      <c r="M16" s="158">
        <f t="shared" si="4"/>
        <v>0</v>
      </c>
      <c r="N16" s="158">
        <f t="shared" si="4"/>
        <v>0</v>
      </c>
      <c r="O16" s="158">
        <f t="shared" si="4"/>
        <v>0</v>
      </c>
      <c r="P16" s="158">
        <f t="shared" si="4"/>
        <v>0</v>
      </c>
    </row>
    <row r="17" spans="1:16">
      <c r="A17" s="89"/>
      <c r="K17" s="24"/>
    </row>
    <row r="18" spans="1:16" s="25" customFormat="1">
      <c r="A18" s="89" t="s">
        <v>118</v>
      </c>
      <c r="B18" s="25" t="s">
        <v>261</v>
      </c>
      <c r="C18"/>
      <c r="J18" s="25">
        <f>J11+J16</f>
        <v>911</v>
      </c>
      <c r="K18" s="371">
        <f t="shared" ref="K18:P18" si="5">K11+K16</f>
        <v>387</v>
      </c>
      <c r="L18" s="25">
        <f t="shared" si="5"/>
        <v>0</v>
      </c>
      <c r="M18" s="25">
        <f t="shared" si="5"/>
        <v>0</v>
      </c>
      <c r="N18" s="25">
        <f t="shared" si="5"/>
        <v>0</v>
      </c>
      <c r="O18" s="25">
        <f t="shared" si="5"/>
        <v>0</v>
      </c>
      <c r="P18" s="25">
        <f t="shared" si="5"/>
        <v>0</v>
      </c>
    </row>
    <row r="19" spans="1:16">
      <c r="A19" s="89"/>
      <c r="K19" s="24"/>
    </row>
    <row r="20" spans="1:16">
      <c r="A20" s="89"/>
      <c r="J20" s="5"/>
      <c r="K20" s="5"/>
    </row>
    <row r="21" spans="1:16">
      <c r="A21" s="89" t="s">
        <v>118</v>
      </c>
      <c r="B21" s="89" t="s">
        <v>131</v>
      </c>
    </row>
  </sheetData>
  <autoFilter ref="B1:B2" xr:uid="{00000000-0009-0000-0000-00000F000000}"/>
  <customSheetViews>
    <customSheetView guid="{5A4827F7-D52D-44AD-B257-2AB13F875B96}" showGridLines="0" fitToPage="1" showAutoFilter="1">
      <selection activeCell="L9" sqref="L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autoFilter ref="B1:B2" xr:uid="{00000000-0000-0000-0000-000000000000}"/>
    </customSheetView>
  </customSheetViews>
  <phoneticPr fontId="18" type="noConversion"/>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HF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rgb="FFFF0000"/>
    <pageSetUpPr fitToPage="1"/>
  </sheetPr>
  <dimension ref="A1:V36"/>
  <sheetViews>
    <sheetView showGridLines="0" workbookViewId="0">
      <selection activeCell="O42" sqref="O4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22" ht="18.75" thickBot="1">
      <c r="A1" s="89"/>
      <c r="B1" s="16" t="str">
        <f>"Shareholders' Equity Schedule"</f>
        <v>Shareholders' Equity Schedule</v>
      </c>
      <c r="T1" s="50"/>
    </row>
    <row r="2" spans="1:22">
      <c r="A2" s="89"/>
      <c r="B2" s="2" t="str">
        <f>Subheader</f>
        <v>Dollars in millions, except per share</v>
      </c>
      <c r="C2" s="3"/>
      <c r="D2" s="3"/>
      <c r="E2" s="3"/>
      <c r="F2" s="3"/>
      <c r="G2" s="3"/>
      <c r="H2" s="3"/>
      <c r="I2" s="3"/>
      <c r="J2" s="3"/>
      <c r="K2" s="3"/>
      <c r="L2" s="3"/>
      <c r="M2" s="3"/>
      <c r="N2" s="3"/>
      <c r="O2" s="3"/>
      <c r="P2" s="3"/>
      <c r="T2" s="50"/>
    </row>
    <row r="3" spans="1:22">
      <c r="A3" s="89"/>
      <c r="T3" s="50"/>
    </row>
    <row r="4" spans="1:22">
      <c r="A4" s="89"/>
      <c r="I4" s="20" t="str">
        <f>IS!I$4</f>
        <v>Historical Year Ending December 31,</v>
      </c>
      <c r="J4" s="20"/>
      <c r="K4" s="20"/>
      <c r="L4" s="20" t="str">
        <f>IS!L$4</f>
        <v>Projected Year Ending December 31,</v>
      </c>
      <c r="M4" s="20"/>
      <c r="N4" s="20"/>
      <c r="O4" s="20"/>
      <c r="P4" s="20"/>
      <c r="T4" s="50"/>
    </row>
    <row r="5" spans="1:22">
      <c r="A5" s="89"/>
      <c r="I5" s="114">
        <f>IS!I$5</f>
        <v>2008</v>
      </c>
      <c r="J5" s="114">
        <f>IS!J$5</f>
        <v>2009</v>
      </c>
      <c r="K5" s="152">
        <f>IS!K$5</f>
        <v>2010</v>
      </c>
      <c r="L5" s="114">
        <f>IS!L$5</f>
        <v>2011</v>
      </c>
      <c r="M5" s="114">
        <f>IS!M$5</f>
        <v>2012</v>
      </c>
      <c r="N5" s="114">
        <f>IS!N$5</f>
        <v>2013</v>
      </c>
      <c r="O5" s="114">
        <f>IS!O$5</f>
        <v>2014</v>
      </c>
      <c r="P5" s="114">
        <f>IS!P$5</f>
        <v>2015</v>
      </c>
      <c r="T5" s="50"/>
    </row>
    <row r="6" spans="1:22">
      <c r="A6" s="89"/>
      <c r="K6" s="24"/>
      <c r="T6" s="50"/>
    </row>
    <row r="7" spans="1:22">
      <c r="A7" s="89"/>
      <c r="B7" s="498" t="str">
        <f>BS!B29</f>
        <v>Total equity</v>
      </c>
      <c r="K7" s="24"/>
      <c r="Q7" s="542"/>
      <c r="T7" s="50"/>
    </row>
    <row r="8" spans="1:22">
      <c r="A8" s="89" t="s">
        <v>118</v>
      </c>
      <c r="C8" t="s">
        <v>155</v>
      </c>
      <c r="I8" s="385"/>
      <c r="J8" s="385"/>
      <c r="K8" s="519"/>
      <c r="L8" s="5">
        <f>K14</f>
        <v>15979</v>
      </c>
      <c r="M8" s="5">
        <f>L14</f>
        <v>15623.108520216092</v>
      </c>
      <c r="N8" s="5">
        <f>M14</f>
        <v>15925.449195840485</v>
      </c>
      <c r="O8" s="5">
        <f>N14</f>
        <v>17170.682600640488</v>
      </c>
      <c r="P8" s="5">
        <f>O14</f>
        <v>18445.034113536487</v>
      </c>
      <c r="Q8" s="543"/>
      <c r="T8" s="50"/>
    </row>
    <row r="9" spans="1:22">
      <c r="A9" s="89"/>
      <c r="C9" t="s">
        <v>157</v>
      </c>
      <c r="I9" s="386"/>
      <c r="J9" s="386"/>
      <c r="K9" s="520"/>
      <c r="L9" s="508">
        <f>IS!L25</f>
        <v>1608.6240000000012</v>
      </c>
      <c r="M9" s="508">
        <f>IS!M25</f>
        <v>1705.7232000000004</v>
      </c>
      <c r="N9" s="508">
        <f>IS!N25</f>
        <v>1778.9048640000001</v>
      </c>
      <c r="O9" s="508">
        <f>IS!O25</f>
        <v>1820.502161280001</v>
      </c>
      <c r="P9" s="508">
        <f>IS!P25</f>
        <v>1862.9314045056005</v>
      </c>
      <c r="T9" s="50"/>
    </row>
    <row r="10" spans="1:22">
      <c r="A10" s="89"/>
      <c r="C10" s="99" t="s">
        <v>151</v>
      </c>
      <c r="I10" s="386"/>
      <c r="J10" s="386"/>
      <c r="K10" s="520"/>
      <c r="L10" s="80">
        <v>0</v>
      </c>
      <c r="M10" s="384">
        <f>L10</f>
        <v>0</v>
      </c>
      <c r="N10" s="384">
        <f>M10</f>
        <v>0</v>
      </c>
      <c r="O10" s="384">
        <f>N10</f>
        <v>0</v>
      </c>
      <c r="P10" s="384">
        <f>O10</f>
        <v>0</v>
      </c>
      <c r="R10" s="50"/>
      <c r="T10" s="50"/>
    </row>
    <row r="11" spans="1:22">
      <c r="A11" s="89"/>
      <c r="C11" t="s">
        <v>176</v>
      </c>
      <c r="I11" s="386" t="s">
        <v>216</v>
      </c>
      <c r="J11" s="386"/>
      <c r="K11" s="520"/>
      <c r="L11" s="6">
        <f>-L21</f>
        <v>-1481.9282797839078</v>
      </c>
      <c r="M11" s="6">
        <f>-M21</f>
        <v>-891.66556437560519</v>
      </c>
      <c r="N11" s="6">
        <f>-N21</f>
        <v>0</v>
      </c>
      <c r="O11" s="6">
        <f>-O21</f>
        <v>0</v>
      </c>
      <c r="P11" s="6">
        <f>-P21</f>
        <v>0</v>
      </c>
      <c r="T11" s="50"/>
    </row>
    <row r="12" spans="1:22">
      <c r="A12" s="89"/>
      <c r="C12" s="18" t="s">
        <v>23</v>
      </c>
      <c r="I12" s="386"/>
      <c r="J12" s="386"/>
      <c r="K12" s="520"/>
      <c r="L12" s="6">
        <f>-L29</f>
        <v>-482.58720000000034</v>
      </c>
      <c r="M12" s="6">
        <f>-M29</f>
        <v>-511.71696000000009</v>
      </c>
      <c r="N12" s="6">
        <f>-N29</f>
        <v>-533.67145919999996</v>
      </c>
      <c r="O12" s="6">
        <f>-O29</f>
        <v>-546.15064838400031</v>
      </c>
      <c r="P12" s="6">
        <f>-P29</f>
        <v>-558.87942135168009</v>
      </c>
      <c r="T12" s="50"/>
    </row>
    <row r="13" spans="1:22">
      <c r="A13" s="89"/>
      <c r="C13" t="s">
        <v>152</v>
      </c>
      <c r="I13" s="387"/>
      <c r="J13" s="387"/>
      <c r="K13" s="521"/>
      <c r="L13" s="6">
        <f>L26</f>
        <v>0</v>
      </c>
      <c r="M13" s="6">
        <f>M26</f>
        <v>0</v>
      </c>
      <c r="N13" s="6">
        <f>N26</f>
        <v>0</v>
      </c>
      <c r="O13" s="6">
        <f>O26</f>
        <v>0</v>
      </c>
      <c r="P13" s="6">
        <f>P26</f>
        <v>0</v>
      </c>
      <c r="T13" s="50"/>
    </row>
    <row r="14" spans="1:22">
      <c r="A14" s="89" t="s">
        <v>118</v>
      </c>
      <c r="C14" t="s">
        <v>156</v>
      </c>
      <c r="I14" s="150">
        <f>BS!I29</f>
        <v>13432</v>
      </c>
      <c r="J14" s="150">
        <f>BS!J29</f>
        <v>15634</v>
      </c>
      <c r="K14" s="151">
        <f>BS!K29</f>
        <v>15979</v>
      </c>
      <c r="L14" s="181">
        <f>SUM(L8:L13)</f>
        <v>15623.108520216092</v>
      </c>
      <c r="M14" s="181">
        <f>SUM(M8:M13)</f>
        <v>15925.449195840485</v>
      </c>
      <c r="N14" s="181">
        <f>SUM(N8:N13)</f>
        <v>17170.682600640488</v>
      </c>
      <c r="O14" s="181">
        <f>SUM(O8:O13)</f>
        <v>18445.034113536487</v>
      </c>
      <c r="P14" s="181">
        <f>SUM(P8:P13)</f>
        <v>19749.086096690407</v>
      </c>
      <c r="R14" s="469"/>
      <c r="S14" s="470" t="s">
        <v>122</v>
      </c>
      <c r="T14" s="471"/>
      <c r="V14" s="97"/>
    </row>
    <row r="15" spans="1:22">
      <c r="A15" s="89"/>
      <c r="K15" s="616"/>
      <c r="M15" s="556"/>
      <c r="N15" s="556"/>
      <c r="O15" s="556"/>
      <c r="P15" s="556"/>
      <c r="Q15" s="556"/>
      <c r="R15" s="557"/>
      <c r="S15" s="558" t="s">
        <v>123</v>
      </c>
      <c r="T15" s="559"/>
      <c r="U15" s="556"/>
      <c r="V15" s="97"/>
    </row>
    <row r="16" spans="1:22">
      <c r="A16" s="89"/>
      <c r="B16" s="4" t="s">
        <v>158</v>
      </c>
      <c r="K16" s="561"/>
      <c r="M16" s="556"/>
      <c r="N16" s="556"/>
      <c r="O16" s="556"/>
      <c r="P16" s="556"/>
      <c r="Q16" s="556"/>
      <c r="R16" s="557"/>
      <c r="S16" s="560" t="s">
        <v>124</v>
      </c>
      <c r="T16" s="559"/>
      <c r="U16" s="556"/>
      <c r="V16" s="97"/>
    </row>
    <row r="17" spans="1:22">
      <c r="A17" s="89"/>
      <c r="B17" s="18"/>
      <c r="C17" s="18" t="s">
        <v>159</v>
      </c>
      <c r="I17" s="37"/>
      <c r="J17" s="37"/>
      <c r="K17" s="148"/>
      <c r="L17" s="637">
        <f>IS!L29</f>
        <v>5.4886232584589179</v>
      </c>
      <c r="M17" s="637">
        <f>IS!M29</f>
        <v>6.6049301064859645</v>
      </c>
      <c r="N17" s="637">
        <f>IS!N29</f>
        <v>7.0943364466600203</v>
      </c>
      <c r="O17" s="637">
        <f>IS!O29</f>
        <v>7.2602279612362954</v>
      </c>
      <c r="P17" s="637">
        <f>IS!P29</f>
        <v>7.4294373061040897</v>
      </c>
      <c r="R17" s="469"/>
      <c r="S17" s="472"/>
      <c r="T17" s="471"/>
      <c r="V17" s="97"/>
    </row>
    <row r="18" spans="1:22">
      <c r="A18" s="89"/>
      <c r="C18" t="s">
        <v>177</v>
      </c>
      <c r="I18" s="37"/>
      <c r="J18" s="37"/>
      <c r="K18" s="148"/>
      <c r="L18" s="161">
        <v>9</v>
      </c>
      <c r="M18" s="162">
        <f>L18</f>
        <v>9</v>
      </c>
      <c r="N18" s="163">
        <f>M18</f>
        <v>9</v>
      </c>
      <c r="O18" s="163">
        <f>N18</f>
        <v>9</v>
      </c>
      <c r="P18" s="163">
        <f>O18</f>
        <v>9</v>
      </c>
      <c r="V18" s="97"/>
    </row>
    <row r="19" spans="1:22">
      <c r="A19" s="89"/>
      <c r="C19" t="s">
        <v>160</v>
      </c>
      <c r="I19" s="37"/>
      <c r="J19" s="37"/>
      <c r="K19" s="148"/>
      <c r="L19" s="26">
        <f>L17*L18</f>
        <v>49.397609326130258</v>
      </c>
      <c r="M19" s="26">
        <f>M17*M18</f>
        <v>59.444370958373682</v>
      </c>
      <c r="N19" s="26">
        <f>N17*N18</f>
        <v>63.849028019940185</v>
      </c>
      <c r="O19" s="26">
        <f>O17*O18</f>
        <v>65.342051651126653</v>
      </c>
      <c r="P19" s="26">
        <f>P17*P18</f>
        <v>66.864935754936809</v>
      </c>
      <c r="Q19" s="18"/>
      <c r="R19" s="141" t="s">
        <v>208</v>
      </c>
      <c r="T19" s="18"/>
    </row>
    <row r="20" spans="1:22">
      <c r="A20" s="89"/>
      <c r="C20" t="s">
        <v>161</v>
      </c>
      <c r="I20" s="164">
        <v>30</v>
      </c>
      <c r="J20" s="164">
        <v>26</v>
      </c>
      <c r="K20" s="522">
        <v>17</v>
      </c>
      <c r="L20" s="1142">
        <f>-shares!L9</f>
        <v>30</v>
      </c>
      <c r="M20" s="8">
        <f>-shares!M9</f>
        <v>15</v>
      </c>
      <c r="N20" s="8">
        <f>-shares!N9</f>
        <v>0</v>
      </c>
      <c r="O20" s="8">
        <f>-shares!O9</f>
        <v>0</v>
      </c>
      <c r="P20" s="8">
        <f>-shares!P9</f>
        <v>0</v>
      </c>
      <c r="R20" s="554">
        <v>0.5</v>
      </c>
    </row>
    <row r="21" spans="1:22" s="18" customFormat="1">
      <c r="A21" s="101" t="s">
        <v>118</v>
      </c>
      <c r="C21" s="18" t="s">
        <v>162</v>
      </c>
      <c r="I21" s="109">
        <v>1140</v>
      </c>
      <c r="J21" s="109">
        <v>903</v>
      </c>
      <c r="K21" s="523">
        <v>527</v>
      </c>
      <c r="L21" s="5">
        <f>L19*L20</f>
        <v>1481.9282797839078</v>
      </c>
      <c r="M21" s="5">
        <f>M19*M20</f>
        <v>891.66556437560519</v>
      </c>
      <c r="N21" s="5">
        <f>N19*N20</f>
        <v>0</v>
      </c>
      <c r="O21" s="5">
        <f>O19*O20</f>
        <v>0</v>
      </c>
      <c r="P21" s="5">
        <f>P19*P20</f>
        <v>0</v>
      </c>
      <c r="T21" s="50"/>
    </row>
    <row r="22" spans="1:22">
      <c r="A22" s="89"/>
      <c r="K22" s="24"/>
      <c r="T22" s="50"/>
    </row>
    <row r="23" spans="1:22">
      <c r="A23" s="89"/>
      <c r="B23" s="4" t="s">
        <v>163</v>
      </c>
      <c r="I23" s="83"/>
      <c r="K23" s="24"/>
      <c r="L23" s="544"/>
      <c r="T23" s="50"/>
    </row>
    <row r="24" spans="1:22">
      <c r="A24" s="89"/>
      <c r="C24" t="s">
        <v>164</v>
      </c>
      <c r="I24" s="164">
        <v>0</v>
      </c>
      <c r="J24" s="164">
        <v>0</v>
      </c>
      <c r="K24" s="179">
        <v>0</v>
      </c>
      <c r="L24" s="164">
        <v>0</v>
      </c>
      <c r="M24" s="8">
        <f t="shared" ref="M24:P25" si="0">L24</f>
        <v>0</v>
      </c>
      <c r="N24" s="8">
        <f t="shared" si="0"/>
        <v>0</v>
      </c>
      <c r="O24" s="8">
        <f t="shared" si="0"/>
        <v>0</v>
      </c>
      <c r="P24" s="8">
        <f t="shared" si="0"/>
        <v>0</v>
      </c>
      <c r="T24" s="50"/>
    </row>
    <row r="25" spans="1:22">
      <c r="A25" s="89"/>
      <c r="C25" t="s">
        <v>165</v>
      </c>
      <c r="F25" s="50"/>
      <c r="G25" s="50"/>
      <c r="H25" s="26"/>
      <c r="I25" s="110"/>
      <c r="J25" s="110"/>
      <c r="K25" s="511"/>
      <c r="L25" s="165">
        <v>0</v>
      </c>
      <c r="M25" s="26">
        <f t="shared" si="0"/>
        <v>0</v>
      </c>
      <c r="N25" s="26">
        <f t="shared" si="0"/>
        <v>0</v>
      </c>
      <c r="O25" s="26">
        <f t="shared" si="0"/>
        <v>0</v>
      </c>
      <c r="P25" s="26">
        <f t="shared" si="0"/>
        <v>0</v>
      </c>
      <c r="T25" s="50"/>
    </row>
    <row r="26" spans="1:22" s="18" customFormat="1">
      <c r="A26" s="101" t="s">
        <v>118</v>
      </c>
      <c r="C26" t="s">
        <v>152</v>
      </c>
      <c r="F26" s="542"/>
      <c r="I26" s="503">
        <v>0</v>
      </c>
      <c r="J26" s="503">
        <v>0</v>
      </c>
      <c r="K26" s="524">
        <v>0</v>
      </c>
      <c r="L26" s="5">
        <f>L24*L25</f>
        <v>0</v>
      </c>
      <c r="M26" s="5">
        <f>M24*M25</f>
        <v>0</v>
      </c>
      <c r="N26" s="5">
        <f>N24*N25</f>
        <v>0</v>
      </c>
      <c r="O26" s="5">
        <f>O24*O25</f>
        <v>0</v>
      </c>
      <c r="P26" s="5">
        <f>P24*P25</f>
        <v>0</v>
      </c>
      <c r="T26" s="50"/>
    </row>
    <row r="27" spans="1:22">
      <c r="A27" s="89"/>
      <c r="I27" s="15"/>
      <c r="J27" s="15"/>
      <c r="K27" s="525"/>
      <c r="L27" s="5"/>
      <c r="M27" s="5"/>
      <c r="N27" s="5"/>
      <c r="O27" s="5"/>
      <c r="P27" s="5"/>
      <c r="T27" s="50"/>
    </row>
    <row r="28" spans="1:22">
      <c r="A28" s="89"/>
      <c r="B28" s="4" t="s">
        <v>166</v>
      </c>
      <c r="K28" s="24"/>
      <c r="T28" s="50"/>
    </row>
    <row r="29" spans="1:22">
      <c r="A29" s="89"/>
      <c r="C29" s="18" t="s">
        <v>23</v>
      </c>
      <c r="D29" s="18"/>
      <c r="E29" s="18"/>
      <c r="F29" s="617"/>
      <c r="G29" s="18"/>
      <c r="H29" s="18"/>
      <c r="I29" s="109">
        <v>471</v>
      </c>
      <c r="J29" s="109">
        <v>487</v>
      </c>
      <c r="K29" s="526">
        <f>1.48*321.6</f>
        <v>475.96800000000002</v>
      </c>
      <c r="L29" s="5">
        <f>L31*L30</f>
        <v>482.58720000000034</v>
      </c>
      <c r="M29" s="5">
        <f>M31*M30</f>
        <v>511.71696000000009</v>
      </c>
      <c r="N29" s="5">
        <f>N31*N30</f>
        <v>533.67145919999996</v>
      </c>
      <c r="O29" s="5">
        <f>O31*O30</f>
        <v>546.15064838400031</v>
      </c>
      <c r="P29" s="5">
        <f>P31*P30</f>
        <v>558.87942135168009</v>
      </c>
      <c r="T29" s="50"/>
    </row>
    <row r="30" spans="1:22">
      <c r="A30" s="89"/>
      <c r="C30" t="s">
        <v>157</v>
      </c>
      <c r="I30" s="29">
        <f>IS!I25</f>
        <v>1735</v>
      </c>
      <c r="J30" s="29">
        <f>IS!J25</f>
        <v>2119</v>
      </c>
      <c r="K30" s="245">
        <f>IS!K25</f>
        <v>2173</v>
      </c>
      <c r="L30" s="29">
        <f>IS!L25</f>
        <v>1608.6240000000012</v>
      </c>
      <c r="M30" s="29">
        <f>IS!M25</f>
        <v>1705.7232000000004</v>
      </c>
      <c r="N30" s="29">
        <f>IS!N25</f>
        <v>1778.9048640000001</v>
      </c>
      <c r="O30" s="29">
        <f>IS!O25</f>
        <v>1820.502161280001</v>
      </c>
      <c r="P30" s="29">
        <f>IS!P25</f>
        <v>1862.9314045056005</v>
      </c>
      <c r="T30" s="50"/>
    </row>
    <row r="31" spans="1:22" s="18" customFormat="1">
      <c r="A31" s="89" t="s">
        <v>118</v>
      </c>
      <c r="C31" t="s">
        <v>167</v>
      </c>
      <c r="D31"/>
      <c r="E31"/>
      <c r="F31"/>
      <c r="G31"/>
      <c r="H31"/>
      <c r="I31" s="166">
        <f>I29/I30</f>
        <v>0.27146974063400575</v>
      </c>
      <c r="J31" s="166">
        <f>J29/J30</f>
        <v>0.22982538933459179</v>
      </c>
      <c r="K31" s="527">
        <f>K29/K30</f>
        <v>0.21903727565577544</v>
      </c>
      <c r="L31" s="85">
        <v>0.3</v>
      </c>
      <c r="M31" s="167">
        <f>L31</f>
        <v>0.3</v>
      </c>
      <c r="N31" s="167">
        <f>M31</f>
        <v>0.3</v>
      </c>
      <c r="O31" s="167">
        <f>N31</f>
        <v>0.3</v>
      </c>
      <c r="P31" s="167">
        <f>O31</f>
        <v>0.3</v>
      </c>
      <c r="T31" s="50"/>
    </row>
    <row r="32" spans="1:22" s="18" customFormat="1">
      <c r="A32" s="101"/>
      <c r="C32"/>
      <c r="D32"/>
      <c r="E32"/>
      <c r="F32"/>
      <c r="G32"/>
      <c r="H32"/>
      <c r="I32" s="166"/>
      <c r="J32" s="167"/>
      <c r="K32" s="167"/>
      <c r="L32" s="542"/>
      <c r="M32" s="167"/>
      <c r="N32" s="167"/>
      <c r="O32" s="167"/>
      <c r="P32" s="167"/>
      <c r="T32" s="50"/>
    </row>
    <row r="33" spans="1:20" s="18" customFormat="1">
      <c r="A33" s="101"/>
      <c r="C33"/>
      <c r="D33"/>
      <c r="E33"/>
      <c r="F33"/>
      <c r="G33"/>
      <c r="H33"/>
      <c r="I33" s="166"/>
      <c r="J33" s="167"/>
      <c r="K33" s="167"/>
      <c r="L33" s="615"/>
      <c r="M33" s="167"/>
      <c r="N33" s="167"/>
      <c r="O33" s="167"/>
      <c r="P33" s="167"/>
      <c r="T33" s="50"/>
    </row>
    <row r="34" spans="1:20">
      <c r="A34" s="89" t="s">
        <v>118</v>
      </c>
      <c r="B34" s="89" t="s">
        <v>131</v>
      </c>
      <c r="K34" s="13"/>
      <c r="L34" s="26"/>
      <c r="T34" s="50"/>
    </row>
    <row r="35" spans="1:20">
      <c r="A35" s="89"/>
      <c r="K35" s="13"/>
      <c r="T35" s="50"/>
    </row>
    <row r="36" spans="1:20">
      <c r="T36" s="50"/>
    </row>
  </sheetData>
  <customSheetViews>
    <customSheetView guid="{5A4827F7-D52D-44AD-B257-2AB13F875B96}" showGridLines="0" fitToPage="1" topLeftCell="A4">
      <selection activeCell="L32" sqref="L32"/>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disablePrompts="1" count="1">
    <dataValidation type="textLength" allowBlank="1" showDropDown="1" showInputMessage="1" showErrorMessage="1" errorTitle="Historicals Not Needed" error="Historicals not needed._x000a__x000a_Please only input the new shares issued from options and the dollar amount received._x000a_" sqref="I25:K25" xr:uid="{00000000-0002-0000-1100-000000000000}">
      <formula1>0</formula1>
      <formula2>200</formula2>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1">
    <pageSetUpPr fitToPage="1"/>
  </sheetPr>
  <dimension ref="A1:R18"/>
  <sheetViews>
    <sheetView showGridLines="0" zoomScale="85" zoomScaleNormal="85" workbookViewId="0">
      <selection activeCell="Q9" sqref="Q9"/>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s>
  <sheetData>
    <row r="1" spans="1:18" ht="18.75" thickBot="1">
      <c r="A1" s="89"/>
      <c r="B1" s="16" t="str">
        <f>"Shares Outstanding Table for "&amp;Name</f>
        <v>Shares Outstanding Table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B6" s="4"/>
      <c r="K6" s="24"/>
    </row>
    <row r="7" spans="1:18" s="13" customFormat="1">
      <c r="A7" s="89" t="s">
        <v>118</v>
      </c>
      <c r="B7" s="13" t="s">
        <v>134</v>
      </c>
      <c r="I7" s="169"/>
      <c r="J7" s="169"/>
      <c r="K7" s="170"/>
      <c r="L7" s="171">
        <f>K10</f>
        <v>304</v>
      </c>
      <c r="M7" s="171">
        <f>L10</f>
        <v>274</v>
      </c>
      <c r="N7" s="171">
        <f>M10</f>
        <v>259</v>
      </c>
      <c r="O7" s="171">
        <f>N10</f>
        <v>259</v>
      </c>
      <c r="P7" s="171">
        <f>O10</f>
        <v>259</v>
      </c>
    </row>
    <row r="8" spans="1:18" s="13" customFormat="1">
      <c r="A8" s="89"/>
      <c r="C8" s="13" t="s">
        <v>135</v>
      </c>
      <c r="I8" s="172" t="s">
        <v>216</v>
      </c>
      <c r="J8" s="173"/>
      <c r="K8" s="174"/>
      <c r="L8" s="175">
        <v>0</v>
      </c>
      <c r="M8" s="175">
        <v>0</v>
      </c>
      <c r="N8" s="175">
        <v>0</v>
      </c>
      <c r="O8" s="175">
        <v>0</v>
      </c>
      <c r="P8" s="175">
        <v>0</v>
      </c>
    </row>
    <row r="9" spans="1:18">
      <c r="A9" s="89"/>
      <c r="C9" t="s">
        <v>136</v>
      </c>
      <c r="G9" s="542"/>
      <c r="I9" s="169"/>
      <c r="J9" s="169"/>
      <c r="K9" s="176"/>
      <c r="L9" s="168">
        <v>-30</v>
      </c>
      <c r="M9" s="168">
        <v>-15</v>
      </c>
      <c r="N9" s="168">
        <v>0</v>
      </c>
      <c r="O9" s="168">
        <v>0</v>
      </c>
      <c r="P9" s="168">
        <v>0</v>
      </c>
    </row>
    <row r="10" spans="1:18">
      <c r="A10" s="89"/>
      <c r="B10" t="s">
        <v>137</v>
      </c>
      <c r="G10" s="542"/>
      <c r="I10" s="1140">
        <f>'Balance Sheet'!K37</f>
        <v>350.1</v>
      </c>
      <c r="J10" s="1140">
        <f>'Balance Sheet'!L37</f>
        <v>326</v>
      </c>
      <c r="K10" s="618">
        <v>304</v>
      </c>
      <c r="L10" s="177">
        <f>SUM(L7:L9)</f>
        <v>274</v>
      </c>
      <c r="M10" s="177">
        <f>SUM(M7:M9)</f>
        <v>259</v>
      </c>
      <c r="N10" s="177">
        <f>SUM(N7:N9)</f>
        <v>259</v>
      </c>
      <c r="O10" s="177">
        <f>SUM(O7:O9)</f>
        <v>259</v>
      </c>
      <c r="P10" s="177">
        <f>SUM(P7:P9)</f>
        <v>259</v>
      </c>
      <c r="R10" s="50"/>
    </row>
    <row r="11" spans="1:18">
      <c r="A11" s="89"/>
      <c r="I11" s="178"/>
      <c r="J11" s="178"/>
      <c r="K11" s="179"/>
      <c r="L11" s="171"/>
      <c r="M11" s="171"/>
      <c r="N11" s="171"/>
      <c r="O11" s="171"/>
      <c r="P11" s="171"/>
    </row>
    <row r="12" spans="1:18">
      <c r="A12" s="89"/>
      <c r="B12" s="18" t="s">
        <v>24</v>
      </c>
      <c r="I12" s="178">
        <v>393.6</v>
      </c>
      <c r="J12" s="178">
        <v>361.1</v>
      </c>
      <c r="K12" s="179">
        <v>330</v>
      </c>
      <c r="L12" s="171">
        <f>AVERAGE(J10:L10)</f>
        <v>301.33333333333331</v>
      </c>
      <c r="M12" s="171">
        <f>AVERAGE(L10:M10)</f>
        <v>266.5</v>
      </c>
      <c r="N12" s="171">
        <f>AVERAGE(M10:N10)</f>
        <v>259</v>
      </c>
      <c r="O12" s="171">
        <f>AVERAGE(N10:O10)</f>
        <v>259</v>
      </c>
      <c r="P12" s="171">
        <f>AVERAGE(O10:P10)</f>
        <v>259</v>
      </c>
    </row>
    <row r="13" spans="1:18">
      <c r="A13" s="89"/>
      <c r="C13" s="18" t="s">
        <v>138</v>
      </c>
      <c r="I13" s="545">
        <f>I14-I12</f>
        <v>-26.800000000000011</v>
      </c>
      <c r="J13" s="545">
        <f>J14-J12</f>
        <v>-8.1000000000000227</v>
      </c>
      <c r="K13" s="546">
        <f>K14-K12</f>
        <v>-8.3999999999999773</v>
      </c>
      <c r="L13" s="178">
        <f>AVERAGE(J13:K13)</f>
        <v>-8.25</v>
      </c>
      <c r="M13" s="171">
        <f>L13</f>
        <v>-8.25</v>
      </c>
      <c r="N13" s="171">
        <f>M13</f>
        <v>-8.25</v>
      </c>
      <c r="O13" s="171">
        <f>N13</f>
        <v>-8.25</v>
      </c>
      <c r="P13" s="171">
        <f>O13</f>
        <v>-8.25</v>
      </c>
      <c r="R13" s="50"/>
    </row>
    <row r="14" spans="1:18">
      <c r="A14" s="89" t="s">
        <v>118</v>
      </c>
      <c r="B14" s="18" t="s">
        <v>139</v>
      </c>
      <c r="I14" s="344">
        <f>IS!I27</f>
        <v>366.8</v>
      </c>
      <c r="J14" s="344">
        <f>IS!J27</f>
        <v>353</v>
      </c>
      <c r="K14" s="638">
        <f>IS!K27</f>
        <v>321.60000000000002</v>
      </c>
      <c r="L14" s="177">
        <f>SUM(L12:L13)</f>
        <v>293.08333333333331</v>
      </c>
      <c r="M14" s="177">
        <f>SUM(M12:M13)</f>
        <v>258.25</v>
      </c>
      <c r="N14" s="177">
        <f>SUM(N12:N13)</f>
        <v>250.75</v>
      </c>
      <c r="O14" s="177">
        <f>SUM(O12:O13)</f>
        <v>250.75</v>
      </c>
      <c r="P14" s="177">
        <f>SUM(P12:P13)</f>
        <v>250.75</v>
      </c>
    </row>
    <row r="15" spans="1:18">
      <c r="A15" s="89"/>
    </row>
    <row r="16" spans="1:18">
      <c r="A16" s="89"/>
      <c r="I16" s="456"/>
      <c r="J16" s="456"/>
      <c r="K16" s="456"/>
      <c r="N16" t="s">
        <v>252</v>
      </c>
      <c r="O16" t="s">
        <v>252</v>
      </c>
      <c r="P16" t="s">
        <v>252</v>
      </c>
    </row>
    <row r="17" spans="1:2">
      <c r="A17" s="89" t="s">
        <v>118</v>
      </c>
      <c r="B17" s="89" t="s">
        <v>131</v>
      </c>
    </row>
    <row r="18" spans="1:2">
      <c r="A18" s="89"/>
    </row>
  </sheetData>
  <customSheetViews>
    <customSheetView guid="{5A4827F7-D52D-44AD-B257-2AB13F875B96}" scale="85" showGridLines="0" fitToPage="1">
      <selection activeCell="Q9" sqref="Q9"/>
      <pageMargins left="0.5" right="0.5" top="0.7" bottom="0.65" header="0.25" footer="0.25"/>
      <printOptions horizontalCentered="1"/>
      <pageSetup scale="97" orientation="landscape" r:id="rId1"/>
      <headerFooter alignWithMargins="0">
        <oddFooter>&amp;L&amp;8COPYRIGHT 2011 © by Training The Street, Inc&amp;C&amp;8&amp;G&amp;R&amp;8For training purposes only!</oddFooter>
      </headerFooter>
    </customSheetView>
  </customSheetViews>
  <phoneticPr fontId="18" type="noConversion"/>
  <dataValidations count="1">
    <dataValidation type="list" allowBlank="1" showDropDown="1" showInputMessage="1" showErrorMessage="1" errorTitle="Historicals Not Needed" error="Historicals not needed._x000a__x000a_Please only input the ending balance." sqref="I7:K9" xr:uid="{00000000-0002-0000-1200-000000000000}">
      <formula1>"0"</formula1>
    </dataValidation>
  </dataValidations>
  <printOptions horizontalCentered="1"/>
  <pageMargins left="0.5" right="0.5" top="0.7" bottom="0.65" header="0.25" footer="0.25"/>
  <pageSetup scale="97" orientation="landscape" r:id="rId2"/>
  <headerFooter alignWithMargins="0">
    <oddFooter>&amp;L&amp;8COPYRIGHT 2011 © by Training The Street, Inc&amp;C&amp;8&amp;G&amp;R&amp;8For training purposes only!</oddFooter>
  </headerFooter>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5">
    <pageSetUpPr fitToPage="1"/>
  </sheetPr>
  <dimension ref="A1:K50"/>
  <sheetViews>
    <sheetView showGridLines="0" workbookViewId="0">
      <selection activeCell="M16" sqref="M16"/>
    </sheetView>
  </sheetViews>
  <sheetFormatPr defaultColWidth="8.81640625" defaultRowHeight="13" customHeight="1"/>
  <cols>
    <col min="1" max="1" width="1.6796875" style="484" customWidth="1"/>
    <col min="2" max="2" width="1.6796875" customWidth="1"/>
    <col min="3" max="4" width="8.81640625" customWidth="1"/>
    <col min="5" max="5" width="9.6796875" bestFit="1" customWidth="1"/>
    <col min="6" max="6" width="13.81640625" customWidth="1"/>
    <col min="7" max="9" width="10.1796875" customWidth="1"/>
  </cols>
  <sheetData>
    <row r="1" spans="1:11" s="40" customFormat="1" ht="15.25">
      <c r="A1" s="89"/>
      <c r="B1" s="106"/>
      <c r="C1" s="14"/>
      <c r="D1"/>
      <c r="E1"/>
      <c r="F1"/>
    </row>
    <row r="2" spans="1:11" s="40" customFormat="1" ht="15.25">
      <c r="A2" s="89"/>
      <c r="B2" s="52"/>
    </row>
    <row r="3" spans="1:11" s="40" customFormat="1" ht="15.25">
      <c r="A3" s="89" t="s">
        <v>119</v>
      </c>
      <c r="B3" s="40" t="s">
        <v>206</v>
      </c>
      <c r="F3" s="46" t="s">
        <v>309</v>
      </c>
      <c r="G3" s="41"/>
      <c r="H3" s="41"/>
      <c r="I3" s="42"/>
      <c r="J3" s="86" t="s">
        <v>219</v>
      </c>
    </row>
    <row r="4" spans="1:11" s="40" customFormat="1" ht="15.25">
      <c r="A4" s="89"/>
      <c r="F4" s="44"/>
    </row>
    <row r="5" spans="1:11" s="40" customFormat="1" ht="15.25">
      <c r="A5" s="89"/>
      <c r="B5" s="77" t="s">
        <v>207</v>
      </c>
      <c r="F5" s="46" t="s">
        <v>250</v>
      </c>
      <c r="G5" s="41"/>
      <c r="H5" s="41"/>
      <c r="I5" s="42"/>
      <c r="J5" s="86" t="s">
        <v>115</v>
      </c>
    </row>
    <row r="6" spans="1:11" s="40" customFormat="1" ht="15.25">
      <c r="A6" s="89"/>
      <c r="F6" s="45"/>
    </row>
    <row r="7" spans="1:11" s="40" customFormat="1" ht="15.25">
      <c r="A7" s="89"/>
      <c r="B7" s="51" t="s">
        <v>218</v>
      </c>
      <c r="F7" s="78">
        <v>40543</v>
      </c>
      <c r="G7" s="86" t="s">
        <v>116</v>
      </c>
      <c r="I7" s="52"/>
    </row>
    <row r="8" spans="1:11" s="40" customFormat="1" ht="15.25">
      <c r="A8" s="89"/>
      <c r="F8" s="45"/>
      <c r="K8" s="43"/>
    </row>
    <row r="9" spans="1:11" ht="15.25">
      <c r="A9" s="89" t="s">
        <v>119</v>
      </c>
      <c r="B9" s="7" t="s">
        <v>120</v>
      </c>
      <c r="G9" s="40"/>
      <c r="H9" s="90">
        <f>IS!L5</f>
        <v>2011</v>
      </c>
      <c r="I9" s="91" t="s">
        <v>117</v>
      </c>
    </row>
    <row r="10" spans="1:11" ht="15.25">
      <c r="A10" s="89"/>
      <c r="B10" s="18" t="str">
        <f>IS!C34</f>
        <v>Premiums earned growth rate</v>
      </c>
      <c r="G10" s="40"/>
      <c r="H10" s="325">
        <f>IS!L34</f>
        <v>0</v>
      </c>
      <c r="I10" s="325">
        <f>IS!S34</f>
        <v>0</v>
      </c>
    </row>
    <row r="11" spans="1:11" ht="15.25">
      <c r="A11" s="89"/>
      <c r="B11" t="str">
        <f>IS!C35</f>
        <v>Loss Ratio</v>
      </c>
      <c r="G11" s="40"/>
      <c r="H11" s="325">
        <f>IS!L35</f>
        <v>0.59</v>
      </c>
      <c r="I11" s="325">
        <f>IS!S35</f>
        <v>0</v>
      </c>
    </row>
    <row r="12" spans="1:11" ht="15.25">
      <c r="A12" s="89"/>
      <c r="B12" t="str">
        <f>IS!C38</f>
        <v>SG&amp;A expenses (as a % of sales)</v>
      </c>
      <c r="G12" s="40"/>
      <c r="H12" s="325">
        <f>IS!L38</f>
        <v>0.03</v>
      </c>
      <c r="I12" s="325">
        <f>IS!S38</f>
        <v>0</v>
      </c>
    </row>
    <row r="13" spans="1:11" ht="15.25">
      <c r="A13" s="89"/>
      <c r="B13" t="str">
        <f>IS!$C$39</f>
        <v>Other operating (income) / expense (amount)</v>
      </c>
      <c r="G13" s="40"/>
      <c r="H13" s="326">
        <f>IS!$L$39</f>
        <v>0</v>
      </c>
      <c r="I13" s="29">
        <f>IS!S39</f>
        <v>0</v>
      </c>
    </row>
    <row r="14" spans="1:11" ht="15.25">
      <c r="A14" s="89"/>
      <c r="B14" t="str">
        <f>IS!C40</f>
        <v>Effective tax rate</v>
      </c>
      <c r="G14" s="40"/>
      <c r="H14" s="325">
        <f>IS!L40</f>
        <v>0.28000000000000003</v>
      </c>
      <c r="I14" s="325">
        <f>IS!S40</f>
        <v>0</v>
      </c>
    </row>
    <row r="15" spans="1:11" ht="2.25" customHeight="1">
      <c r="A15" s="89"/>
      <c r="B15" s="39"/>
      <c r="C15" s="39"/>
      <c r="D15" s="39"/>
      <c r="E15" s="39"/>
      <c r="F15" s="39"/>
      <c r="G15" s="39"/>
      <c r="H15" s="92"/>
      <c r="I15" s="92"/>
    </row>
    <row r="16" spans="1:11">
      <c r="A16" s="89"/>
      <c r="B16" t="str">
        <f>workingcap!C27</f>
        <v>Cash (collection period in days)</v>
      </c>
      <c r="H16" s="29">
        <f>workingcap!L27</f>
        <v>2</v>
      </c>
      <c r="I16" s="29"/>
    </row>
    <row r="17" spans="1:9">
      <c r="A17" s="89"/>
      <c r="B17" t="str">
        <f>workingcap!C28</f>
        <v>Premiums Receivable (days outstanding)</v>
      </c>
      <c r="H17" s="29">
        <f>workingcap!L28</f>
        <v>110</v>
      </c>
      <c r="I17" s="29"/>
    </row>
    <row r="18" spans="1:9">
      <c r="A18" s="89"/>
      <c r="B18" t="str">
        <f>workingcap!C29</f>
        <v>Investments (as % of sales)</v>
      </c>
      <c r="H18" s="325">
        <f>workingcap!L29</f>
        <v>3.5498090521815504</v>
      </c>
      <c r="I18" s="325"/>
    </row>
    <row r="19" spans="1:9">
      <c r="A19" s="89"/>
      <c r="B19" t="str">
        <f>workingcap!C31</f>
        <v>Unpaid Losses and Loss Expenses (x losses and loss expenses)</v>
      </c>
      <c r="H19" s="29">
        <f>workingcap!L31</f>
        <v>3.5</v>
      </c>
      <c r="I19" s="29"/>
    </row>
    <row r="20" spans="1:9">
      <c r="A20" s="89"/>
      <c r="B20" t="str">
        <f>workingcap!C32</f>
        <v>Unearned Premiums (as % premiums earned)</v>
      </c>
      <c r="H20" s="632">
        <f>workingcap!L32</f>
        <v>0.54</v>
      </c>
      <c r="I20" s="29"/>
    </row>
    <row r="21" spans="1:9">
      <c r="A21" s="89"/>
      <c r="B21" t="str">
        <f>workingcap!C33</f>
        <v>Other current liabilities (as % of sales)</v>
      </c>
      <c r="H21" s="325">
        <f>workingcap!L33</f>
        <v>0.12</v>
      </c>
      <c r="I21" s="325"/>
    </row>
    <row r="22" spans="1:9" ht="2.25" customHeight="1">
      <c r="A22" s="89"/>
      <c r="B22" s="39"/>
      <c r="C22" s="39"/>
      <c r="D22" s="39"/>
      <c r="E22" s="39"/>
      <c r="F22" s="39"/>
      <c r="G22" s="39"/>
      <c r="H22" s="92"/>
      <c r="I22" s="39"/>
    </row>
    <row r="23" spans="1:9">
      <c r="A23" s="89"/>
      <c r="B23" t="str">
        <f>Investments!B8</f>
        <v>Capital expenditures</v>
      </c>
      <c r="H23" s="326">
        <f>Investments!$L$8</f>
        <v>771.19524690719481</v>
      </c>
      <c r="I23" s="327">
        <f>Investments!M9</f>
        <v>0</v>
      </c>
    </row>
    <row r="24" spans="1:9">
      <c r="A24" s="89"/>
      <c r="B24" t="str">
        <f>Investments!$B$9&amp;" in year "&amp;Investments!M5</f>
        <v>Capital expenditures as % of sales in year 2012</v>
      </c>
    </row>
    <row r="25" spans="1:9">
      <c r="A25" s="89"/>
      <c r="B25" t="s">
        <v>128</v>
      </c>
      <c r="H25" s="326">
        <f>Investments!L18</f>
        <v>0</v>
      </c>
      <c r="I25" s="327"/>
    </row>
    <row r="26" spans="1:9">
      <c r="A26" s="89"/>
      <c r="B26" t="str">
        <f>Investments!$B$11</f>
        <v>Depreciation expense</v>
      </c>
      <c r="H26" s="326">
        <f>Investments!$L$11</f>
        <v>0</v>
      </c>
    </row>
    <row r="27" spans="1:9">
      <c r="A27" s="89"/>
      <c r="B27" t="str">
        <f>Investments!$B$12&amp;" in year "&amp;Investments!M5</f>
        <v>Depreciation as % of CapEx in year 2012</v>
      </c>
      <c r="H27" s="327">
        <f>Investments!$M$12</f>
        <v>0</v>
      </c>
      <c r="I27" s="327">
        <f>Investments!$R$12</f>
        <v>0</v>
      </c>
    </row>
    <row r="28" spans="1:9" ht="2.25" customHeight="1">
      <c r="A28" s="89"/>
      <c r="B28" s="39"/>
      <c r="C28" s="39"/>
      <c r="D28" s="39"/>
      <c r="E28" s="39"/>
      <c r="F28" s="39"/>
      <c r="G28" s="39"/>
      <c r="H28" s="92"/>
      <c r="I28" s="39"/>
    </row>
    <row r="29" spans="1:9">
      <c r="A29" s="89"/>
      <c r="B29" t="s">
        <v>127</v>
      </c>
      <c r="H29" s="28">
        <f>amort!L8</f>
        <v>0</v>
      </c>
      <c r="I29" s="29"/>
    </row>
    <row r="30" spans="1:9">
      <c r="B30" t="str">
        <f>amort!$C$17</f>
        <v>(Write-offs)</v>
      </c>
      <c r="H30" s="29">
        <f>amort!$L$17</f>
        <v>0</v>
      </c>
    </row>
    <row r="31" spans="1:9">
      <c r="A31" s="89"/>
      <c r="B31" t="str">
        <f>amort!$B$11</f>
        <v>Amortization expense</v>
      </c>
      <c r="H31" s="29">
        <f>amort!$L$11</f>
        <v>0</v>
      </c>
      <c r="I31" s="29"/>
    </row>
    <row r="32" spans="1:9" ht="2.25" customHeight="1">
      <c r="A32" s="89"/>
      <c r="B32" s="39"/>
      <c r="C32" s="39"/>
      <c r="D32" s="39"/>
      <c r="E32" s="39"/>
      <c r="F32" s="39"/>
      <c r="G32" s="39"/>
      <c r="H32" s="39"/>
      <c r="I32" s="39"/>
    </row>
    <row r="33" spans="1:9">
      <c r="A33" s="89"/>
      <c r="B33" s="93" t="s">
        <v>126</v>
      </c>
      <c r="C33" s="93"/>
      <c r="D33" s="93"/>
      <c r="E33" s="93"/>
      <c r="F33" s="93"/>
      <c r="G33" s="93"/>
      <c r="H33" s="28">
        <f>equity!L10</f>
        <v>0</v>
      </c>
      <c r="I33" s="93"/>
    </row>
    <row r="34" spans="1:9">
      <c r="A34" s="89"/>
      <c r="B34" s="93" t="str">
        <f>equity!C18</f>
        <v>Assumed current year P/E Multiple</v>
      </c>
      <c r="C34" s="93"/>
      <c r="D34" s="93"/>
      <c r="E34" s="93"/>
      <c r="F34" s="93"/>
      <c r="G34" s="93"/>
      <c r="H34" s="328">
        <f>equity!L18</f>
        <v>9</v>
      </c>
      <c r="I34" s="93"/>
    </row>
    <row r="35" spans="1:9">
      <c r="A35" s="89"/>
      <c r="B35" s="93" t="str">
        <f>equity!C20</f>
        <v>Shares repurchased - millions</v>
      </c>
      <c r="C35" s="93"/>
      <c r="D35" s="93"/>
      <c r="E35" s="93"/>
      <c r="F35" s="93"/>
      <c r="G35" s="93"/>
      <c r="H35" s="168">
        <f>equity!L20</f>
        <v>30</v>
      </c>
      <c r="I35" s="168">
        <f>equity!R20</f>
        <v>0.5</v>
      </c>
    </row>
    <row r="36" spans="1:9">
      <c r="A36" s="89"/>
      <c r="B36" s="93" t="str">
        <f>equity!$C$24</f>
        <v>New shares issued from options - millions</v>
      </c>
      <c r="C36" s="93"/>
      <c r="D36" s="93"/>
      <c r="E36" s="93"/>
      <c r="F36" s="93"/>
      <c r="G36" s="93"/>
      <c r="H36" s="168">
        <f>equity!L24</f>
        <v>0</v>
      </c>
      <c r="I36" s="93"/>
    </row>
    <row r="37" spans="1:9">
      <c r="A37" s="89"/>
      <c r="B37" s="93" t="str">
        <f>equity!C25</f>
        <v>Average strike price</v>
      </c>
      <c r="C37" s="93"/>
      <c r="D37" s="93"/>
      <c r="E37" s="93"/>
      <c r="F37" s="93"/>
      <c r="G37" s="93"/>
      <c r="H37" s="160">
        <f>equity!L25</f>
        <v>0</v>
      </c>
      <c r="I37" s="93"/>
    </row>
    <row r="38" spans="1:9">
      <c r="A38" s="89"/>
      <c r="B38" s="93" t="str">
        <f>equity!C31</f>
        <v>Dividend payout ratio</v>
      </c>
      <c r="C38" s="93"/>
      <c r="D38" s="93"/>
      <c r="E38" s="93"/>
      <c r="F38" s="93"/>
      <c r="G38" s="93"/>
      <c r="H38" s="325">
        <f>equity!L31</f>
        <v>0.3</v>
      </c>
      <c r="I38" s="93"/>
    </row>
    <row r="39" spans="1:9" s="40" customFormat="1" ht="2.25" customHeight="1">
      <c r="A39" s="89"/>
      <c r="B39" s="94"/>
      <c r="C39" s="94"/>
      <c r="D39" s="94"/>
      <c r="E39" s="94"/>
      <c r="F39" s="94"/>
      <c r="G39" s="94"/>
      <c r="H39" s="94"/>
      <c r="I39" s="94"/>
    </row>
    <row r="40" spans="1:9" ht="15.25">
      <c r="A40" s="89"/>
      <c r="B40" s="93" t="str">
        <f>shares!C13</f>
        <v>Effects of options and dilutive securities</v>
      </c>
      <c r="G40" s="40"/>
      <c r="H40" s="168">
        <f>shares!L13</f>
        <v>-8.25</v>
      </c>
      <c r="I40" s="93"/>
    </row>
    <row r="41" spans="1:9" s="40" customFormat="1" ht="2.25" customHeight="1">
      <c r="A41" s="89"/>
      <c r="B41" s="94"/>
      <c r="C41" s="94"/>
      <c r="D41" s="94"/>
      <c r="E41" s="94"/>
      <c r="F41" s="94"/>
      <c r="G41" s="94"/>
      <c r="H41" s="94"/>
      <c r="I41" s="94"/>
    </row>
    <row r="42" spans="1:9" s="40" customFormat="1" ht="15.25">
      <c r="A42" s="89" t="s">
        <v>119</v>
      </c>
      <c r="B42" s="93" t="s">
        <v>121</v>
      </c>
      <c r="C42" s="93"/>
      <c r="D42" s="93"/>
      <c r="E42" s="93"/>
      <c r="F42" s="93"/>
      <c r="G42" s="93"/>
      <c r="H42" s="28">
        <f>-debt_interest!L12</f>
        <v>0</v>
      </c>
      <c r="I42" s="93"/>
    </row>
    <row r="43" spans="1:9" s="40" customFormat="1" ht="15.25">
      <c r="A43" s="89"/>
      <c r="B43" s="93" t="str">
        <f>debt_interest!B30&amp;" interest rate"</f>
        <v>Revolver interest rate</v>
      </c>
      <c r="C43" s="93"/>
      <c r="D43" s="93"/>
      <c r="E43" s="93"/>
      <c r="F43" s="93"/>
      <c r="G43" s="93"/>
      <c r="H43" s="633">
        <f>debt_interest!$L$31</f>
        <v>2.8E-3</v>
      </c>
      <c r="I43" s="93"/>
    </row>
    <row r="44" spans="1:9" s="40" customFormat="1" ht="15.25">
      <c r="A44" s="89"/>
      <c r="B44" s="93" t="str">
        <f>debt_interest!B34&amp;" interest rate"</f>
        <v>Long-term debt  interest rate</v>
      </c>
      <c r="C44" s="93"/>
      <c r="D44" s="93"/>
      <c r="E44" s="93"/>
      <c r="F44" s="93"/>
      <c r="G44" s="93"/>
      <c r="H44" s="633">
        <f>debt_interest!L35</f>
        <v>5.6000000000000001E-2</v>
      </c>
      <c r="I44" s="93"/>
    </row>
    <row r="45" spans="1:9" s="40" customFormat="1" ht="15.25">
      <c r="A45" s="89"/>
      <c r="B45" s="93" t="str">
        <f>debt_interest!B40&amp;" interest rate"</f>
        <v>Cash Balances: interest rate</v>
      </c>
      <c r="C45" s="93"/>
      <c r="D45" s="93"/>
      <c r="E45" s="93"/>
      <c r="F45" s="93"/>
      <c r="G45" s="93"/>
      <c r="H45" s="633">
        <f>debt_interest!L41</f>
        <v>0.01</v>
      </c>
      <c r="I45" s="93"/>
    </row>
    <row r="46" spans="1:9" s="40" customFormat="1" ht="2.25" customHeight="1">
      <c r="A46" s="89"/>
      <c r="B46" s="94"/>
      <c r="C46" s="94"/>
      <c r="D46" s="94"/>
      <c r="E46" s="94"/>
      <c r="F46" s="94"/>
      <c r="G46" s="94"/>
      <c r="H46" s="94"/>
      <c r="I46" s="94"/>
    </row>
    <row r="47" spans="1:9" s="40" customFormat="1" ht="15.25">
      <c r="A47" s="89"/>
      <c r="B47" s="7"/>
      <c r="C47" s="93"/>
      <c r="D47" s="93"/>
      <c r="E47" s="93"/>
      <c r="F47" s="107">
        <f>IS!$P$5</f>
        <v>2015</v>
      </c>
      <c r="G47" s="107">
        <f>IS!$P$5</f>
        <v>2015</v>
      </c>
      <c r="H47" s="107">
        <f>IS!$P$5</f>
        <v>2015</v>
      </c>
      <c r="I47" s="93"/>
    </row>
    <row r="48" spans="1:9" s="40" customFormat="1" ht="15.25">
      <c r="A48" s="89"/>
      <c r="C48"/>
      <c r="D48"/>
      <c r="E48"/>
      <c r="F48" s="107" t="s">
        <v>193</v>
      </c>
      <c r="G48" s="107" t="s">
        <v>192</v>
      </c>
      <c r="H48" s="107" t="s">
        <v>132</v>
      </c>
    </row>
    <row r="49" spans="1:8" s="40" customFormat="1" ht="15.25">
      <c r="A49" s="89"/>
      <c r="C49"/>
      <c r="D49"/>
      <c r="E49"/>
      <c r="F49" s="329">
        <f>IS!P15</f>
        <v>3005.4047284800008</v>
      </c>
      <c r="G49" s="330">
        <f>IS!P19</f>
        <v>3005.4047284800008</v>
      </c>
      <c r="H49" s="331">
        <f>IS!P29</f>
        <v>7.4294373061040897</v>
      </c>
    </row>
    <row r="50" spans="1:8" s="40" customFormat="1" ht="15.25">
      <c r="A50" s="89" t="s">
        <v>119</v>
      </c>
      <c r="C50"/>
      <c r="D50"/>
      <c r="E50"/>
      <c r="F50"/>
    </row>
  </sheetData>
  <customSheetViews>
    <customSheetView guid="{5A4827F7-D52D-44AD-B257-2AB13F875B96}" showGridLines="0" fitToPage="1" topLeftCell="A10">
      <selection activeCell="I23" sqref="I23"/>
      <pageMargins left="0.5" right="0.5" top="0.7" bottom="0.65" header="0.25" footer="0.25"/>
      <printOptions horizontalCentered="1"/>
      <pageSetup scale="90"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0" orientation="landscape" r:id="rId2"/>
  <headerFooter alignWithMargins="0">
    <oddFooter>&amp;L&amp;8COPYRIGHT 2011 © by Training The Street, Inc&amp;C&amp;8&amp;G&amp;R&amp;8For training purposes only!</oddFooter>
  </headerFooter>
  <legacyDrawingHF r:id="rId3"/>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0">
    <pageSetUpPr fitToPage="1"/>
  </sheetPr>
  <dimension ref="A1:V45"/>
  <sheetViews>
    <sheetView showGridLines="0" zoomScale="85" zoomScaleNormal="85" workbookViewId="0">
      <selection activeCell="A26" sqref="A26"/>
    </sheetView>
  </sheetViews>
  <sheetFormatPr defaultColWidth="8.81640625" defaultRowHeight="13" customHeight="1"/>
  <cols>
    <col min="1" max="1" width="1.6796875" style="484" customWidth="1"/>
    <col min="2" max="2" width="2.5" customWidth="1"/>
    <col min="3" max="3" width="1.6796875" customWidth="1"/>
    <col min="4" max="6" width="8.31640625" customWidth="1"/>
    <col min="7" max="7" width="10.6796875" customWidth="1"/>
    <col min="8" max="8" width="8.31640625" customWidth="1"/>
    <col min="9" max="16" width="10.6796875" customWidth="1"/>
    <col min="17" max="18" width="8.81640625" customWidth="1"/>
    <col min="19" max="19" width="13.6796875" bestFit="1" customWidth="1"/>
  </cols>
  <sheetData>
    <row r="1" spans="1:18" ht="18.75" thickBot="1">
      <c r="A1" s="89"/>
      <c r="B1" s="16" t="str">
        <f>"Debt and Interest Schedule for "&amp;Name</f>
        <v>Debt and Interest Schedule for Chubb Corporation</v>
      </c>
    </row>
    <row r="2" spans="1:18">
      <c r="A2" s="89"/>
      <c r="B2" s="2" t="str">
        <f>Subheader</f>
        <v>Dollars in millions, except per share</v>
      </c>
      <c r="C2" s="3"/>
      <c r="D2" s="3"/>
      <c r="E2" s="3"/>
      <c r="F2" s="3"/>
      <c r="G2" s="3"/>
      <c r="H2" s="3"/>
      <c r="I2" s="3"/>
      <c r="J2" s="3"/>
      <c r="K2" s="3"/>
      <c r="L2" s="3"/>
      <c r="M2" s="3"/>
      <c r="N2" s="3"/>
      <c r="O2" s="3"/>
      <c r="P2" s="3"/>
    </row>
    <row r="3" spans="1:18">
      <c r="A3" s="89"/>
    </row>
    <row r="4" spans="1:18">
      <c r="A4" s="89"/>
      <c r="I4" s="20" t="str">
        <f>IS!I$4</f>
        <v>Historical Year Ending December 31,</v>
      </c>
      <c r="J4" s="20"/>
      <c r="K4" s="20"/>
      <c r="L4" s="20" t="str">
        <f>IS!L$4</f>
        <v>Projected Year Ending December 31,</v>
      </c>
      <c r="M4" s="20"/>
      <c r="N4" s="20"/>
      <c r="O4" s="20"/>
      <c r="P4" s="20"/>
    </row>
    <row r="5" spans="1:18">
      <c r="A5" s="89"/>
      <c r="I5" s="114">
        <f>IS!I$5</f>
        <v>2008</v>
      </c>
      <c r="J5" s="114">
        <f>IS!J$5</f>
        <v>2009</v>
      </c>
      <c r="K5" s="152">
        <f>IS!K$5</f>
        <v>2010</v>
      </c>
      <c r="L5" s="114">
        <f>IS!L$5</f>
        <v>2011</v>
      </c>
      <c r="M5" s="114">
        <f>IS!M$5</f>
        <v>2012</v>
      </c>
      <c r="N5" s="114">
        <f>IS!N$5</f>
        <v>2013</v>
      </c>
      <c r="O5" s="114">
        <f>IS!O$5</f>
        <v>2014</v>
      </c>
      <c r="P5" s="114">
        <f>IS!P$5</f>
        <v>2015</v>
      </c>
    </row>
    <row r="6" spans="1:18">
      <c r="A6" s="89"/>
      <c r="K6" s="24"/>
    </row>
    <row r="7" spans="1:18">
      <c r="A7" s="89" t="s">
        <v>118</v>
      </c>
      <c r="B7" t="s">
        <v>178</v>
      </c>
      <c r="K7" s="24"/>
      <c r="L7" s="28">
        <f>cf!L19</f>
        <v>2379.819246907196</v>
      </c>
      <c r="M7" s="28">
        <f>cf!M19</f>
        <v>1162.165587268224</v>
      </c>
      <c r="N7" s="28">
        <f>cf!N19</f>
        <v>2437.1142276904175</v>
      </c>
      <c r="O7" s="28">
        <f>cf!O19</f>
        <v>2496.089152244218</v>
      </c>
      <c r="P7" s="28">
        <f>cf!P19</f>
        <v>2556.2435752890951</v>
      </c>
    </row>
    <row r="8" spans="1:18">
      <c r="A8" s="89"/>
      <c r="C8" t="s">
        <v>176</v>
      </c>
      <c r="K8" s="24"/>
      <c r="L8" s="29">
        <f>equity!L11</f>
        <v>-1481.9282797839078</v>
      </c>
      <c r="M8" s="29">
        <f>equity!M11</f>
        <v>-891.66556437560519</v>
      </c>
      <c r="N8" s="29">
        <f>equity!N11</f>
        <v>0</v>
      </c>
      <c r="O8" s="29">
        <f>equity!O11</f>
        <v>0</v>
      </c>
      <c r="P8" s="29">
        <f>equity!P11</f>
        <v>0</v>
      </c>
    </row>
    <row r="9" spans="1:18">
      <c r="A9" s="89"/>
      <c r="C9" s="18" t="s">
        <v>23</v>
      </c>
      <c r="K9" s="24"/>
      <c r="L9" s="29">
        <f>equity!L12</f>
        <v>-482.58720000000034</v>
      </c>
      <c r="M9" s="29">
        <f>equity!M12</f>
        <v>-511.71696000000009</v>
      </c>
      <c r="N9" s="29">
        <f>equity!N12</f>
        <v>-533.67145919999996</v>
      </c>
      <c r="O9" s="29">
        <f>equity!O12</f>
        <v>-546.15064838400031</v>
      </c>
      <c r="P9" s="29">
        <f>equity!P12</f>
        <v>-558.87942135168009</v>
      </c>
    </row>
    <row r="10" spans="1:18">
      <c r="A10" s="89"/>
      <c r="C10" t="s">
        <v>152</v>
      </c>
      <c r="K10" s="24"/>
      <c r="L10" s="29">
        <f>equity!L13</f>
        <v>0</v>
      </c>
      <c r="M10" s="29">
        <f>equity!M13</f>
        <v>0</v>
      </c>
      <c r="N10" s="29">
        <f>equity!N13</f>
        <v>0</v>
      </c>
      <c r="O10" s="29">
        <f>equity!O13</f>
        <v>0</v>
      </c>
      <c r="P10" s="29">
        <f>equity!P13</f>
        <v>0</v>
      </c>
    </row>
    <row r="11" spans="1:18">
      <c r="A11" s="89"/>
      <c r="C11" t="s">
        <v>168</v>
      </c>
      <c r="K11" s="24"/>
      <c r="L11" s="29">
        <f>BS!K7</f>
        <v>2046</v>
      </c>
      <c r="M11" s="29">
        <f>BS!L7</f>
        <v>2000</v>
      </c>
      <c r="N11" s="29">
        <f>BS!M7</f>
        <v>2000</v>
      </c>
      <c r="O11" s="29">
        <f>BS!N7</f>
        <v>2000</v>
      </c>
      <c r="P11" s="29">
        <f>BS!O7</f>
        <v>2000</v>
      </c>
    </row>
    <row r="12" spans="1:18">
      <c r="A12" s="89" t="s">
        <v>118</v>
      </c>
      <c r="C12" t="s">
        <v>169</v>
      </c>
      <c r="K12" s="24"/>
      <c r="L12" s="108">
        <v>0</v>
      </c>
      <c r="M12" s="6">
        <f>L12</f>
        <v>0</v>
      </c>
      <c r="N12" s="6">
        <f>M12</f>
        <v>0</v>
      </c>
      <c r="O12" s="6">
        <f>N12</f>
        <v>0</v>
      </c>
      <c r="P12" s="6">
        <f>O12</f>
        <v>0</v>
      </c>
      <c r="R12" s="50"/>
    </row>
    <row r="13" spans="1:18" s="18" customFormat="1">
      <c r="A13" s="89"/>
      <c r="B13" s="18" t="s">
        <v>205</v>
      </c>
      <c r="K13" s="509"/>
      <c r="L13" s="181">
        <f>SUM(L7:L12)</f>
        <v>2461.3037671232878</v>
      </c>
      <c r="M13" s="181">
        <f>SUM(M7:M12)</f>
        <v>1758.7830628926188</v>
      </c>
      <c r="N13" s="181">
        <f>SUM(N7:N12)</f>
        <v>3903.4427684904176</v>
      </c>
      <c r="O13" s="181">
        <f>SUM(O7:O12)</f>
        <v>3949.9385038602177</v>
      </c>
      <c r="P13" s="181">
        <f>SUM(P7:P12)</f>
        <v>3997.3641539374148</v>
      </c>
    </row>
    <row r="14" spans="1:18" s="33" customFormat="1">
      <c r="A14" s="89"/>
      <c r="B14" s="7"/>
      <c r="C14" t="s">
        <v>170</v>
      </c>
      <c r="K14" s="510"/>
      <c r="L14" s="182">
        <f t="shared" ref="L14:P15" si="0">L25</f>
        <v>0</v>
      </c>
      <c r="M14" s="182">
        <f t="shared" si="0"/>
        <v>0</v>
      </c>
      <c r="N14" s="182">
        <f>N25</f>
        <v>0</v>
      </c>
      <c r="O14" s="182">
        <f t="shared" si="0"/>
        <v>0</v>
      </c>
      <c r="P14" s="182">
        <f t="shared" si="0"/>
        <v>0</v>
      </c>
    </row>
    <row r="15" spans="1:18" s="33" customFormat="1">
      <c r="A15" s="89"/>
      <c r="B15" s="35"/>
      <c r="C15" s="33" t="s">
        <v>171</v>
      </c>
      <c r="K15" s="510"/>
      <c r="L15" s="182">
        <f>L26</f>
        <v>-400</v>
      </c>
      <c r="M15" s="182">
        <f t="shared" si="0"/>
        <v>0</v>
      </c>
      <c r="N15" s="182">
        <f t="shared" si="0"/>
        <v>-275</v>
      </c>
      <c r="O15" s="182">
        <f t="shared" si="0"/>
        <v>0</v>
      </c>
      <c r="P15" s="182">
        <f t="shared" si="0"/>
        <v>0</v>
      </c>
    </row>
    <row r="16" spans="1:18">
      <c r="A16" s="89"/>
      <c r="B16" s="7" t="s">
        <v>63</v>
      </c>
      <c r="K16" s="24"/>
      <c r="L16" s="70">
        <f>SUM(L13:L15)</f>
        <v>2061.3037671232878</v>
      </c>
      <c r="M16" s="70">
        <f>SUM(M13:M15)</f>
        <v>1758.7830628926188</v>
      </c>
      <c r="N16" s="70">
        <f>SUM(N13:N15)</f>
        <v>3628.4427684904176</v>
      </c>
      <c r="O16" s="70">
        <f>SUM(O13:O15)</f>
        <v>3949.9385038602177</v>
      </c>
      <c r="P16" s="70">
        <f>SUM(P13:P15)</f>
        <v>3997.3641539374148</v>
      </c>
    </row>
    <row r="17" spans="1:22">
      <c r="A17" s="89"/>
      <c r="K17" s="24"/>
    </row>
    <row r="18" spans="1:22">
      <c r="A18" s="89"/>
      <c r="B18" s="84" t="str">
        <f>BS!B24</f>
        <v>Revolver</v>
      </c>
      <c r="K18" s="24"/>
      <c r="Q18" s="579"/>
    </row>
    <row r="19" spans="1:22">
      <c r="A19" s="89"/>
      <c r="C19" t="s">
        <v>155</v>
      </c>
      <c r="I19" s="502"/>
      <c r="J19" s="39"/>
      <c r="K19" s="511"/>
      <c r="L19" s="183">
        <f>K21</f>
        <v>0</v>
      </c>
      <c r="M19" s="183">
        <f>L21</f>
        <v>0</v>
      </c>
      <c r="N19" s="183">
        <f>M21</f>
        <v>0</v>
      </c>
      <c r="O19" s="183">
        <f>N21</f>
        <v>0</v>
      </c>
      <c r="P19" s="183">
        <f>O21</f>
        <v>0</v>
      </c>
      <c r="Q19" s="619"/>
    </row>
    <row r="20" spans="1:22">
      <c r="A20" s="89"/>
      <c r="C20" t="s">
        <v>64</v>
      </c>
      <c r="I20" s="502"/>
      <c r="J20" s="39"/>
      <c r="K20" s="512" t="s">
        <v>262</v>
      </c>
      <c r="L20" s="6">
        <v>0</v>
      </c>
      <c r="M20" s="6">
        <v>0</v>
      </c>
      <c r="N20" s="6">
        <v>0</v>
      </c>
      <c r="O20" s="6">
        <v>0</v>
      </c>
      <c r="P20" s="6">
        <v>0</v>
      </c>
    </row>
    <row r="21" spans="1:22">
      <c r="A21" s="89" t="s">
        <v>118</v>
      </c>
      <c r="C21" s="18" t="s">
        <v>156</v>
      </c>
      <c r="D21" s="18"/>
      <c r="E21" s="18"/>
      <c r="F21" s="18"/>
      <c r="G21" s="18"/>
      <c r="H21" s="18"/>
      <c r="I21" s="150">
        <f>BS!I24</f>
        <v>0</v>
      </c>
      <c r="J21" s="150">
        <f>BS!J24</f>
        <v>0</v>
      </c>
      <c r="K21" s="151">
        <f>BS!K24</f>
        <v>0</v>
      </c>
      <c r="L21" s="136">
        <f>SUM(L19:L20)</f>
        <v>0</v>
      </c>
      <c r="M21" s="136">
        <f>SUM(M19:M20)</f>
        <v>0</v>
      </c>
      <c r="N21" s="136">
        <f>SUM(N19:N20)</f>
        <v>0</v>
      </c>
      <c r="O21" s="136">
        <f>SUM(O19:O20)</f>
        <v>0</v>
      </c>
      <c r="P21" s="136">
        <f>SUM(P19:P20)</f>
        <v>0</v>
      </c>
    </row>
    <row r="22" spans="1:22">
      <c r="A22" s="89"/>
      <c r="K22" s="24"/>
    </row>
    <row r="23" spans="1:22">
      <c r="A23" s="89"/>
      <c r="B23" s="84" t="str">
        <f>BS!B25</f>
        <v xml:space="preserve">Long-term debt </v>
      </c>
      <c r="K23" s="24"/>
    </row>
    <row r="24" spans="1:22">
      <c r="A24" s="89"/>
      <c r="C24" s="19" t="s">
        <v>185</v>
      </c>
      <c r="I24" s="47"/>
      <c r="J24" s="48"/>
      <c r="K24" s="513"/>
      <c r="L24" s="5">
        <f>K27</f>
        <v>3975</v>
      </c>
      <c r="M24" s="5">
        <f>L27</f>
        <v>3575</v>
      </c>
      <c r="N24" s="5">
        <f>M27</f>
        <v>3575</v>
      </c>
      <c r="O24" s="5">
        <f>N27</f>
        <v>3300</v>
      </c>
      <c r="P24" s="5">
        <f>O27</f>
        <v>3300</v>
      </c>
      <c r="Q24" s="555"/>
    </row>
    <row r="25" spans="1:22">
      <c r="A25" s="89"/>
      <c r="C25" s="19" t="s">
        <v>209</v>
      </c>
      <c r="I25" s="49"/>
      <c r="J25" s="49"/>
      <c r="K25" s="649" t="s">
        <v>307</v>
      </c>
      <c r="L25" s="22">
        <v>0</v>
      </c>
      <c r="M25" s="22">
        <v>0</v>
      </c>
      <c r="N25" s="22">
        <v>0</v>
      </c>
      <c r="O25" s="22">
        <v>0</v>
      </c>
      <c r="P25" s="22">
        <v>0</v>
      </c>
      <c r="R25" s="50"/>
    </row>
    <row r="26" spans="1:22" s="18" customFormat="1">
      <c r="A26" s="89"/>
      <c r="C26" s="19" t="s">
        <v>179</v>
      </c>
      <c r="I26" s="49"/>
      <c r="J26" s="49"/>
      <c r="K26" s="514" t="s">
        <v>263</v>
      </c>
      <c r="L26" s="80">
        <v>-400</v>
      </c>
      <c r="M26" s="80">
        <v>0</v>
      </c>
      <c r="N26" s="80">
        <v>-275</v>
      </c>
      <c r="O26" s="80">
        <v>0</v>
      </c>
      <c r="P26" s="80">
        <v>0</v>
      </c>
      <c r="R26"/>
      <c r="S26"/>
      <c r="T26"/>
      <c r="U26"/>
      <c r="V26"/>
    </row>
    <row r="27" spans="1:22">
      <c r="A27" s="89" t="s">
        <v>118</v>
      </c>
      <c r="C27" s="19" t="s">
        <v>184</v>
      </c>
      <c r="I27" s="150">
        <f>BS!I25</f>
        <v>3975</v>
      </c>
      <c r="J27" s="150">
        <f>BS!J25</f>
        <v>3975</v>
      </c>
      <c r="K27" s="151">
        <f>BS!K25</f>
        <v>3975</v>
      </c>
      <c r="L27" s="136">
        <f>SUM(L24:L26)</f>
        <v>3575</v>
      </c>
      <c r="M27" s="136">
        <f>SUM(M24:M26)</f>
        <v>3575</v>
      </c>
      <c r="N27" s="136">
        <f>SUM(N24:N26)</f>
        <v>3300</v>
      </c>
      <c r="O27" s="136">
        <f>SUM(O24:O26)</f>
        <v>3300</v>
      </c>
      <c r="P27" s="136">
        <f>SUM(P24:P26)</f>
        <v>3300</v>
      </c>
    </row>
    <row r="28" spans="1:22">
      <c r="A28" s="89"/>
      <c r="C28" s="19"/>
      <c r="I28" s="30"/>
      <c r="J28" s="30"/>
      <c r="K28" s="135"/>
      <c r="L28" s="17"/>
      <c r="M28" s="17"/>
      <c r="N28" s="17"/>
      <c r="O28" s="17"/>
      <c r="P28" s="17"/>
    </row>
    <row r="29" spans="1:22" s="13" customFormat="1">
      <c r="A29" s="89"/>
      <c r="B29" s="116"/>
      <c r="C29" s="117"/>
      <c r="D29" s="116"/>
      <c r="E29" s="116"/>
      <c r="F29" s="116"/>
      <c r="G29" s="116"/>
      <c r="H29" s="116"/>
      <c r="I29" s="581"/>
      <c r="J29" s="118"/>
      <c r="K29" s="515"/>
      <c r="L29" s="119"/>
      <c r="M29" s="119"/>
      <c r="N29" s="119"/>
      <c r="O29" s="119"/>
      <c r="P29" s="119"/>
      <c r="R29" s="50"/>
    </row>
    <row r="30" spans="1:22">
      <c r="A30" s="89" t="s">
        <v>118</v>
      </c>
      <c r="B30" s="31" t="str">
        <f>B18</f>
        <v>Revolver</v>
      </c>
      <c r="C30" s="13"/>
      <c r="D30" s="13"/>
      <c r="E30" s="13"/>
      <c r="F30" s="13"/>
      <c r="G30" s="13"/>
      <c r="H30" s="13"/>
      <c r="I30" s="79" t="str">
        <f>I34</f>
        <v>Average Balance</v>
      </c>
      <c r="J30" s="80"/>
      <c r="K30" s="516"/>
      <c r="L30" s="81">
        <f>AVERAGE(L19,L21)</f>
        <v>0</v>
      </c>
      <c r="M30" s="81">
        <f>AVERAGE(M19,M21)</f>
        <v>0</v>
      </c>
      <c r="N30" s="81">
        <f>AVERAGE(N19,N21)</f>
        <v>0</v>
      </c>
      <c r="O30" s="81">
        <f>AVERAGE(O19,O21)</f>
        <v>0</v>
      </c>
      <c r="P30" s="81">
        <f>AVERAGE(P19,P21)</f>
        <v>0</v>
      </c>
      <c r="R30" s="7"/>
      <c r="S30" s="551" t="s">
        <v>267</v>
      </c>
      <c r="T30" s="552" t="s">
        <v>268</v>
      </c>
    </row>
    <row r="31" spans="1:22">
      <c r="A31" s="89"/>
      <c r="I31" t="str">
        <f>I35</f>
        <v>Interest Rate</v>
      </c>
      <c r="K31" s="567"/>
      <c r="L31" s="184">
        <v>2.8E-3</v>
      </c>
      <c r="M31" s="185">
        <f>L31</f>
        <v>2.8E-3</v>
      </c>
      <c r="N31" s="185">
        <f>M31</f>
        <v>2.8E-3</v>
      </c>
      <c r="O31" s="185">
        <f>N31</f>
        <v>2.8E-3</v>
      </c>
      <c r="P31" s="185">
        <f>O31</f>
        <v>2.8E-3</v>
      </c>
      <c r="R31" s="50"/>
      <c r="S31" s="548">
        <v>700</v>
      </c>
      <c r="T31" s="549">
        <v>6.7500000000000004E-2</v>
      </c>
    </row>
    <row r="32" spans="1:22">
      <c r="A32" s="89"/>
      <c r="I32" t="str">
        <f>I36</f>
        <v>Interest Expense</v>
      </c>
      <c r="J32" s="33"/>
      <c r="K32" s="510"/>
      <c r="L32" s="5">
        <f>L30*L31</f>
        <v>0</v>
      </c>
      <c r="M32" s="5">
        <f>M30*M31</f>
        <v>0</v>
      </c>
      <c r="N32" s="5">
        <f>N30*N31</f>
        <v>0</v>
      </c>
      <c r="O32" s="5">
        <f>O30*O31</f>
        <v>0</v>
      </c>
      <c r="P32" s="5">
        <f>P30*P31</f>
        <v>0</v>
      </c>
      <c r="S32" s="550">
        <v>400</v>
      </c>
      <c r="T32" s="549">
        <v>0.05</v>
      </c>
    </row>
    <row r="33" spans="1:20">
      <c r="A33" s="89"/>
      <c r="J33" s="32"/>
      <c r="K33" s="517"/>
      <c r="L33" s="186"/>
      <c r="M33" s="167"/>
      <c r="N33" s="167"/>
      <c r="O33" s="167"/>
      <c r="P33" s="167"/>
      <c r="S33" s="550">
        <v>300</v>
      </c>
      <c r="T33" s="549">
        <v>4.8800000000000003E-2</v>
      </c>
    </row>
    <row r="34" spans="1:20">
      <c r="A34" s="89" t="s">
        <v>118</v>
      </c>
      <c r="B34" s="31" t="str">
        <f>B23</f>
        <v xml:space="preserve">Long-term debt </v>
      </c>
      <c r="I34" s="79" t="s">
        <v>180</v>
      </c>
      <c r="J34" s="80"/>
      <c r="K34" s="516"/>
      <c r="L34" s="81">
        <f>AVERAGE(L24,L27)</f>
        <v>3775</v>
      </c>
      <c r="M34" s="81">
        <f>AVERAGE(M24,M27)</f>
        <v>3575</v>
      </c>
      <c r="N34" s="81">
        <f>AVERAGE(N24,N27)</f>
        <v>3437.5</v>
      </c>
      <c r="O34" s="81">
        <f>AVERAGE(O24,O27)</f>
        <v>3300</v>
      </c>
      <c r="P34" s="81">
        <f>AVERAGE(P24,P27)</f>
        <v>3300</v>
      </c>
      <c r="S34" s="550">
        <v>300</v>
      </c>
      <c r="T34" s="549">
        <v>3.3799999999999997E-2</v>
      </c>
    </row>
    <row r="35" spans="1:20">
      <c r="A35" s="89"/>
      <c r="B35" s="31"/>
      <c r="I35" s="19" t="s">
        <v>181</v>
      </c>
      <c r="J35" s="33"/>
      <c r="K35" s="510"/>
      <c r="L35" s="184">
        <v>5.6000000000000001E-2</v>
      </c>
      <c r="M35" s="185">
        <f>L35</f>
        <v>5.6000000000000001E-2</v>
      </c>
      <c r="N35" s="185">
        <f>M35</f>
        <v>5.6000000000000001E-2</v>
      </c>
      <c r="O35" s="185">
        <f>N35</f>
        <v>5.6000000000000001E-2</v>
      </c>
      <c r="P35" s="185">
        <f>O35</f>
        <v>5.6000000000000001E-2</v>
      </c>
      <c r="R35" s="50"/>
      <c r="S35" s="550">
        <v>300</v>
      </c>
      <c r="T35" s="549">
        <v>4.4999999999999998E-2</v>
      </c>
    </row>
    <row r="36" spans="1:20">
      <c r="A36" s="89"/>
      <c r="B36" s="31"/>
      <c r="I36" s="19" t="s">
        <v>65</v>
      </c>
      <c r="J36" s="33"/>
      <c r="K36" s="510"/>
      <c r="L36" s="5">
        <f>L34*L35</f>
        <v>211.4</v>
      </c>
      <c r="M36" s="5">
        <f>M34*M35</f>
        <v>200.20000000000002</v>
      </c>
      <c r="N36" s="5">
        <f>N34*N35</f>
        <v>192.5</v>
      </c>
      <c r="O36" s="5">
        <f>O34*O35</f>
        <v>184.8</v>
      </c>
      <c r="P36" s="5">
        <f>P34*P35</f>
        <v>184.8</v>
      </c>
      <c r="S36" s="550">
        <v>200</v>
      </c>
      <c r="T36" s="549">
        <v>8.8800000000000004E-2</v>
      </c>
    </row>
    <row r="37" spans="1:20">
      <c r="A37" s="89"/>
      <c r="J37" s="33"/>
      <c r="K37" s="510"/>
      <c r="L37" s="5"/>
      <c r="M37" s="5"/>
      <c r="N37" s="5"/>
      <c r="O37" s="5"/>
      <c r="P37" s="5"/>
      <c r="S37" s="547" t="s">
        <v>269</v>
      </c>
      <c r="T37" s="639">
        <f>SUMPRODUCT(S31:S36,T31:T36)/SUM(S31:S36)</f>
        <v>5.6040909090909093E-2</v>
      </c>
    </row>
    <row r="38" spans="1:20" s="7" customFormat="1">
      <c r="I38" s="7" t="s">
        <v>210</v>
      </c>
      <c r="J38" s="35"/>
      <c r="K38" s="518"/>
      <c r="L38" s="25">
        <f>L32+L36</f>
        <v>211.4</v>
      </c>
      <c r="M38" s="25">
        <f>M32+M36</f>
        <v>200.20000000000002</v>
      </c>
      <c r="N38" s="25">
        <f>N32+N36</f>
        <v>192.5</v>
      </c>
      <c r="O38" s="25">
        <f>O32+O36</f>
        <v>184.8</v>
      </c>
      <c r="P38" s="25">
        <f>P32+P36</f>
        <v>184.8</v>
      </c>
    </row>
    <row r="39" spans="1:20">
      <c r="A39" s="89"/>
      <c r="J39" s="33"/>
      <c r="K39" s="510"/>
    </row>
    <row r="40" spans="1:20">
      <c r="A40" s="89" t="s">
        <v>118</v>
      </c>
      <c r="B40" s="18" t="s">
        <v>182</v>
      </c>
      <c r="I40" t="str">
        <f>I30</f>
        <v>Average Balance</v>
      </c>
      <c r="J40" s="36"/>
      <c r="K40" s="382"/>
      <c r="L40" s="28">
        <f>AVERAGE(BS!K7:L7)</f>
        <v>2023</v>
      </c>
      <c r="M40" s="28">
        <f>AVERAGE(BS!L7:M7)</f>
        <v>2000</v>
      </c>
      <c r="N40" s="28">
        <f>AVERAGE(BS!M7:N7)</f>
        <v>2000</v>
      </c>
      <c r="O40" s="28">
        <f>AVERAGE(BS!N7:O7)</f>
        <v>2000</v>
      </c>
      <c r="P40" s="28">
        <f>AVERAGE(BS!O7:P7)</f>
        <v>2000</v>
      </c>
    </row>
    <row r="41" spans="1:20">
      <c r="A41" s="89"/>
      <c r="B41" s="18"/>
      <c r="I41" t="str">
        <f>I31</f>
        <v>Interest Rate</v>
      </c>
      <c r="J41" s="33"/>
      <c r="K41" s="510"/>
      <c r="L41" s="184">
        <v>0.01</v>
      </c>
      <c r="M41" s="185">
        <f>L41</f>
        <v>0.01</v>
      </c>
      <c r="N41" s="185">
        <f>M41</f>
        <v>0.01</v>
      </c>
      <c r="O41" s="185">
        <f>N41</f>
        <v>0.01</v>
      </c>
      <c r="P41" s="185">
        <f>O41</f>
        <v>0.01</v>
      </c>
      <c r="R41" s="50"/>
    </row>
    <row r="42" spans="1:20">
      <c r="A42" s="89" t="s">
        <v>118</v>
      </c>
      <c r="I42" t="s">
        <v>183</v>
      </c>
      <c r="J42" s="33"/>
      <c r="K42" s="510"/>
      <c r="L42" s="5">
        <f>-L40*L41</f>
        <v>-20.23</v>
      </c>
      <c r="M42" s="5">
        <f>-M40*M41</f>
        <v>-20</v>
      </c>
      <c r="N42" s="5">
        <f>-N40*N41</f>
        <v>-20</v>
      </c>
      <c r="O42" s="5">
        <f>-O40*O41</f>
        <v>-20</v>
      </c>
      <c r="P42" s="5">
        <f>-P40*P41</f>
        <v>-20</v>
      </c>
    </row>
    <row r="43" spans="1:20">
      <c r="A43" s="89"/>
      <c r="J43" s="33"/>
      <c r="K43" s="33"/>
      <c r="L43" s="5"/>
      <c r="M43" s="5"/>
      <c r="N43" s="5"/>
      <c r="O43" s="5"/>
      <c r="P43" s="5"/>
      <c r="S43" s="227"/>
    </row>
    <row r="44" spans="1:20">
      <c r="A44" s="89"/>
    </row>
    <row r="45" spans="1:20">
      <c r="A45" s="89" t="s">
        <v>118</v>
      </c>
      <c r="B45" s="89" t="s">
        <v>131</v>
      </c>
    </row>
  </sheetData>
  <customSheetViews>
    <customSheetView guid="{5A4827F7-D52D-44AD-B257-2AB13F875B96}" scale="85" showGridLines="0" fitToPage="1">
      <selection activeCell="A26" sqref="A26"/>
      <pageMargins left="0.5" right="0.5" top="0.7" bottom="0.65" header="0.25" footer="0.25"/>
      <printOptions horizontalCentered="1"/>
      <pageSetup scale="95"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95" orientation="landscape" r:id="rId2"/>
  <headerFooter alignWithMargins="0">
    <oddFooter>&amp;L&amp;8COPYRIGHT 2011 © by Training The Street, Inc&amp;C&amp;8&amp;G&amp;R&amp;8For training purposes only!</oddFooter>
  </headerFooter>
  <legacyDrawing r:id="rId3"/>
  <legacyDrawingHF r:id="rId4"/>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AD75"/>
  <sheetViews>
    <sheetView topLeftCell="L10" zoomScale="75" zoomScaleNormal="75" workbookViewId="0">
      <selection activeCell="R19" sqref="R19"/>
    </sheetView>
  </sheetViews>
  <sheetFormatPr defaultColWidth="9.1796875" defaultRowHeight="13"/>
  <cols>
    <col min="1" max="1" width="12.81640625" style="705" customWidth="1"/>
    <col min="2" max="2" width="9.1796875" style="706"/>
    <col min="3" max="3" width="11" style="705" customWidth="1"/>
    <col min="4" max="4" width="23" style="705" customWidth="1"/>
    <col min="5" max="5" width="11.5" style="705" customWidth="1"/>
    <col min="6" max="6" width="24.31640625" style="705" customWidth="1"/>
    <col min="7" max="7" width="9.1796875" style="706"/>
    <col min="8" max="8" width="9.31640625" style="706" bestFit="1" customWidth="1"/>
    <col min="9" max="9" width="13.81640625" style="705" customWidth="1"/>
    <col min="10" max="12" width="9.1796875" style="705"/>
    <col min="13" max="13" width="25.81640625" style="705" customWidth="1"/>
    <col min="14" max="14" width="9.1796875" style="706"/>
    <col min="15" max="21" width="9.1796875" style="705"/>
    <col min="22" max="22" width="37.5" style="705" customWidth="1"/>
    <col min="23" max="23" width="9.81640625" style="705" bestFit="1" customWidth="1"/>
    <col min="24" max="24" width="10.31640625" style="705" bestFit="1" customWidth="1"/>
    <col min="25" max="16384" width="9.1796875" style="705"/>
  </cols>
  <sheetData>
    <row r="1" spans="1:30" ht="13.75" thickBot="1">
      <c r="A1" s="882" t="s">
        <v>762</v>
      </c>
      <c r="B1" s="803"/>
      <c r="C1" s="804"/>
      <c r="D1" s="804"/>
      <c r="E1" s="804"/>
      <c r="F1" s="804"/>
      <c r="G1" s="803"/>
      <c r="H1" s="803"/>
      <c r="N1" s="803"/>
    </row>
    <row r="2" spans="1:30" ht="13.5" customHeight="1">
      <c r="A2" s="1301" t="s">
        <v>761</v>
      </c>
      <c r="B2" s="1301"/>
      <c r="C2" s="1301"/>
      <c r="D2" s="1301"/>
      <c r="E2" s="1301"/>
      <c r="F2" s="1301"/>
      <c r="G2" s="1301"/>
      <c r="H2" s="1301"/>
      <c r="I2" s="881"/>
      <c r="L2" s="1304" t="s">
        <v>760</v>
      </c>
      <c r="M2" s="1305"/>
      <c r="N2" s="1305"/>
      <c r="O2" s="1305"/>
      <c r="P2" s="1305"/>
      <c r="Q2" s="1305"/>
      <c r="R2" s="1305"/>
      <c r="S2" s="1305"/>
      <c r="T2" s="1305"/>
      <c r="U2" s="1306"/>
    </row>
    <row r="3" spans="1:30" ht="14.25" customHeight="1" thickBot="1">
      <c r="A3" s="804" t="s">
        <v>628</v>
      </c>
      <c r="B3" s="803"/>
      <c r="C3" s="804"/>
      <c r="D3" s="804"/>
      <c r="E3" s="804"/>
      <c r="F3" s="804"/>
      <c r="G3" s="803"/>
      <c r="H3" s="803"/>
      <c r="L3" s="1307"/>
      <c r="M3" s="1308"/>
      <c r="N3" s="1308"/>
      <c r="O3" s="1308"/>
      <c r="P3" s="1308"/>
      <c r="Q3" s="1308"/>
      <c r="R3" s="1308"/>
      <c r="S3" s="1308"/>
      <c r="T3" s="1308"/>
      <c r="U3" s="1309"/>
    </row>
    <row r="4" spans="1:30" ht="13.5" customHeight="1" thickBot="1">
      <c r="A4" s="791"/>
      <c r="B4" s="865">
        <v>2011</v>
      </c>
      <c r="C4" s="880"/>
      <c r="D4" s="879"/>
      <c r="E4" s="880"/>
      <c r="F4" s="879"/>
      <c r="G4" s="878" t="s">
        <v>759</v>
      </c>
      <c r="H4" s="877" t="s">
        <v>758</v>
      </c>
      <c r="I4" s="791"/>
      <c r="L4" s="751"/>
      <c r="M4" s="800"/>
      <c r="N4" s="876"/>
      <c r="O4" s="876"/>
      <c r="P4" s="876"/>
      <c r="Q4" s="876"/>
      <c r="R4" s="876"/>
      <c r="S4" s="876"/>
      <c r="T4" s="800"/>
      <c r="U4" s="747"/>
    </row>
    <row r="5" spans="1:30" ht="14" thickBot="1">
      <c r="A5" s="740"/>
      <c r="B5" s="875" t="s">
        <v>757</v>
      </c>
      <c r="C5" s="874" t="s">
        <v>756</v>
      </c>
      <c r="D5" s="873"/>
      <c r="E5" s="874" t="s">
        <v>755</v>
      </c>
      <c r="F5" s="873"/>
      <c r="G5" s="872" t="s">
        <v>754</v>
      </c>
      <c r="H5" s="871" t="s">
        <v>754</v>
      </c>
      <c r="I5" s="740"/>
      <c r="L5" s="751"/>
      <c r="M5" s="801"/>
      <c r="N5" s="799"/>
      <c r="O5" s="870"/>
      <c r="P5" s="870"/>
      <c r="Q5" s="870"/>
      <c r="R5" s="800"/>
      <c r="S5" s="1302" t="s">
        <v>715</v>
      </c>
      <c r="T5" s="1303"/>
      <c r="U5" s="747"/>
    </row>
    <row r="6" spans="1:30" ht="14" thickBot="1">
      <c r="A6" s="864"/>
      <c r="B6" s="869" t="s">
        <v>753</v>
      </c>
      <c r="C6" s="868" t="s">
        <v>752</v>
      </c>
      <c r="D6" s="867" t="s">
        <v>751</v>
      </c>
      <c r="E6" s="868" t="s">
        <v>752</v>
      </c>
      <c r="F6" s="867" t="s">
        <v>751</v>
      </c>
      <c r="G6" s="866">
        <v>2012</v>
      </c>
      <c r="H6" s="865">
        <v>2012</v>
      </c>
      <c r="I6" s="864"/>
      <c r="L6" s="751"/>
      <c r="M6" s="801" t="s">
        <v>628</v>
      </c>
      <c r="N6" s="862" t="s">
        <v>735</v>
      </c>
      <c r="O6" s="863" t="s">
        <v>734</v>
      </c>
      <c r="P6" s="863" t="s">
        <v>733</v>
      </c>
      <c r="Q6" s="862" t="s">
        <v>732</v>
      </c>
      <c r="R6" s="800"/>
      <c r="S6" s="861">
        <v>2011</v>
      </c>
      <c r="T6" s="861">
        <v>2012</v>
      </c>
      <c r="U6" s="747"/>
    </row>
    <row r="7" spans="1:30" ht="13.25">
      <c r="A7" s="771" t="s">
        <v>748</v>
      </c>
      <c r="B7" s="822">
        <v>13044</v>
      </c>
      <c r="C7" s="840">
        <v>0</v>
      </c>
      <c r="D7" s="819" t="s">
        <v>750</v>
      </c>
      <c r="E7" s="840">
        <v>0.05</v>
      </c>
      <c r="F7" s="852" t="s">
        <v>749</v>
      </c>
      <c r="G7" s="818">
        <f>$B$7*(1+$E7)</f>
        <v>13696.2</v>
      </c>
      <c r="H7" s="792">
        <f>$B$7*(1+$E7)</f>
        <v>13696.2</v>
      </c>
      <c r="I7" s="740" t="str">
        <f t="shared" ref="I7:I17" si="0">A7</f>
        <v>Premium Earn and Inv Income</v>
      </c>
      <c r="L7" s="751"/>
      <c r="M7" s="790" t="s">
        <v>748</v>
      </c>
      <c r="N7" s="817">
        <v>3261</v>
      </c>
      <c r="O7" s="788">
        <v>3261</v>
      </c>
      <c r="P7" s="860">
        <v>3261</v>
      </c>
      <c r="Q7" s="817">
        <v>3261</v>
      </c>
      <c r="R7" s="749"/>
      <c r="S7" s="817">
        <f>SUM(N7:Q7)</f>
        <v>13044</v>
      </c>
      <c r="T7" s="816">
        <v>13696.2</v>
      </c>
      <c r="U7" s="800"/>
      <c r="V7" s="859"/>
      <c r="W7" s="1292" t="s">
        <v>747</v>
      </c>
      <c r="X7" s="1292"/>
      <c r="Y7" s="1292"/>
      <c r="Z7" s="1292"/>
      <c r="AA7" s="1292"/>
      <c r="AB7" s="1292"/>
      <c r="AC7" s="1292"/>
      <c r="AD7" s="1293"/>
    </row>
    <row r="8" spans="1:30" ht="14" thickBot="1">
      <c r="A8" s="771" t="s">
        <v>745</v>
      </c>
      <c r="B8" s="822">
        <v>9783</v>
      </c>
      <c r="C8" s="840">
        <f>B8/B$7</f>
        <v>0.75</v>
      </c>
      <c r="D8" s="821" t="s">
        <v>666</v>
      </c>
      <c r="E8" s="840">
        <v>0.74</v>
      </c>
      <c r="F8" s="852" t="s">
        <v>746</v>
      </c>
      <c r="G8" s="818">
        <f>$E8*$G7</f>
        <v>10135.188</v>
      </c>
      <c r="H8" s="738">
        <f>$E8*$G7</f>
        <v>10135.188</v>
      </c>
      <c r="I8" s="740" t="str">
        <f t="shared" si="0"/>
        <v>Losses and Amort of Acq Costs</v>
      </c>
      <c r="L8" s="751"/>
      <c r="M8" s="858" t="s">
        <v>745</v>
      </c>
      <c r="N8" s="817">
        <v>2445.75</v>
      </c>
      <c r="O8" s="759">
        <v>2445.75</v>
      </c>
      <c r="P8" s="817">
        <v>2445.75</v>
      </c>
      <c r="Q8" s="817">
        <v>2445.75</v>
      </c>
      <c r="R8" s="749"/>
      <c r="S8" s="817">
        <f>SUM(N8:Q8)</f>
        <v>9783</v>
      </c>
      <c r="T8" s="816">
        <v>10135.188</v>
      </c>
      <c r="U8" s="800"/>
      <c r="V8" s="857"/>
      <c r="W8" s="1300" t="s">
        <v>744</v>
      </c>
      <c r="X8" s="1300"/>
      <c r="Y8" s="1300"/>
      <c r="Z8" s="1300"/>
      <c r="AA8" s="1294" t="s">
        <v>743</v>
      </c>
      <c r="AB8" s="1294"/>
      <c r="AC8" s="1294"/>
      <c r="AD8" s="1295"/>
    </row>
    <row r="9" spans="1:30" ht="13.25">
      <c r="A9" s="775" t="s">
        <v>741</v>
      </c>
      <c r="B9" s="838">
        <f>B7-B8</f>
        <v>3261</v>
      </c>
      <c r="C9" s="780" t="s">
        <v>653</v>
      </c>
      <c r="D9" s="856" t="s">
        <v>742</v>
      </c>
      <c r="E9" s="780" t="s">
        <v>653</v>
      </c>
      <c r="F9" s="836"/>
      <c r="G9" s="835">
        <f>G7-G8</f>
        <v>3561.0120000000006</v>
      </c>
      <c r="H9" s="776">
        <f>H7-H8</f>
        <v>3561.0120000000006</v>
      </c>
      <c r="I9" s="775" t="str">
        <f t="shared" si="0"/>
        <v>Gross Pft</v>
      </c>
      <c r="L9" s="751"/>
      <c r="M9" s="774" t="s">
        <v>741</v>
      </c>
      <c r="N9" s="834">
        <v>815.25</v>
      </c>
      <c r="O9" s="772">
        <v>815.25</v>
      </c>
      <c r="P9" s="772">
        <v>815.25</v>
      </c>
      <c r="Q9" s="772">
        <v>815.25</v>
      </c>
      <c r="R9" s="749"/>
      <c r="S9" s="772">
        <f>S7-S8</f>
        <v>3261</v>
      </c>
      <c r="T9" s="772">
        <f>T7-T8</f>
        <v>3561.0120000000006</v>
      </c>
      <c r="U9" s="800"/>
      <c r="V9" s="727" t="s">
        <v>740</v>
      </c>
      <c r="W9" s="726" t="s">
        <v>739</v>
      </c>
      <c r="X9" s="726" t="s">
        <v>738</v>
      </c>
      <c r="Y9" s="726" t="s">
        <v>737</v>
      </c>
      <c r="Z9" s="726" t="s">
        <v>736</v>
      </c>
      <c r="AA9" s="855" t="s">
        <v>735</v>
      </c>
      <c r="AB9" s="854" t="s">
        <v>734</v>
      </c>
      <c r="AC9" s="854" t="s">
        <v>733</v>
      </c>
      <c r="AD9" s="853" t="s">
        <v>732</v>
      </c>
    </row>
    <row r="10" spans="1:30" ht="14" thickBot="1">
      <c r="A10" s="771" t="s">
        <v>729</v>
      </c>
      <c r="B10" s="822">
        <v>368</v>
      </c>
      <c r="C10" s="840">
        <f>B10/B$7</f>
        <v>2.8212204845139529E-2</v>
      </c>
      <c r="D10" s="819" t="s">
        <v>731</v>
      </c>
      <c r="E10" s="840">
        <f>C10</f>
        <v>2.8212204845139529E-2</v>
      </c>
      <c r="F10" s="852" t="s">
        <v>730</v>
      </c>
      <c r="G10" s="818">
        <f>$C10*$G$7</f>
        <v>386.40000000000003</v>
      </c>
      <c r="H10" s="738">
        <f>$E10*$G$7</f>
        <v>386.40000000000003</v>
      </c>
      <c r="I10" s="740" t="str">
        <f t="shared" si="0"/>
        <v>Inv &amp; Corp Exp</v>
      </c>
      <c r="L10" s="751"/>
      <c r="M10" s="762" t="s">
        <v>729</v>
      </c>
      <c r="N10" s="816">
        <v>92</v>
      </c>
      <c r="O10" s="759">
        <v>92</v>
      </c>
      <c r="P10" s="817">
        <v>92</v>
      </c>
      <c r="Q10" s="817">
        <v>92</v>
      </c>
      <c r="R10" s="749"/>
      <c r="S10" s="817">
        <f>SUM(N10:Q10)</f>
        <v>368</v>
      </c>
      <c r="T10" s="816">
        <v>386.40000000000003</v>
      </c>
      <c r="U10" s="800"/>
      <c r="V10" s="832" t="s">
        <v>709</v>
      </c>
      <c r="W10" s="831">
        <v>1.1399999999999999</v>
      </c>
      <c r="X10" s="831">
        <v>1.41</v>
      </c>
      <c r="Y10" s="831">
        <v>1.69</v>
      </c>
      <c r="Z10" s="831">
        <v>1.69</v>
      </c>
      <c r="AA10" s="830">
        <v>1.1718919831223626</v>
      </c>
      <c r="AB10" s="851">
        <v>1.3265553662691654</v>
      </c>
      <c r="AC10" s="851">
        <v>1.3565993031358887</v>
      </c>
      <c r="AD10" s="829">
        <v>1.388035650623886</v>
      </c>
    </row>
    <row r="11" spans="1:30" ht="13.5" customHeight="1" thickBot="1">
      <c r="A11" s="771" t="s">
        <v>727</v>
      </c>
      <c r="B11" s="822">
        <v>652</v>
      </c>
      <c r="C11" s="840">
        <f>B11/B$7</f>
        <v>4.998466727997547E-2</v>
      </c>
      <c r="D11" s="821" t="s">
        <v>722</v>
      </c>
      <c r="E11" s="840">
        <v>0.05</v>
      </c>
      <c r="F11" s="839" t="s">
        <v>728</v>
      </c>
      <c r="G11" s="818">
        <f>$E11*$G7</f>
        <v>684.81000000000006</v>
      </c>
      <c r="H11" s="738">
        <f>G11</f>
        <v>684.81000000000006</v>
      </c>
      <c r="I11" s="740" t="str">
        <f t="shared" si="0"/>
        <v>Other Op Exp</v>
      </c>
      <c r="L11" s="751"/>
      <c r="M11" s="762" t="s">
        <v>727</v>
      </c>
      <c r="N11" s="816">
        <v>196.07278481012659</v>
      </c>
      <c r="O11" s="759">
        <v>163.05000000000001</v>
      </c>
      <c r="P11" s="817">
        <v>163.05000000000001</v>
      </c>
      <c r="Q11" s="817">
        <v>163.05000000000001</v>
      </c>
      <c r="R11" s="749"/>
      <c r="S11" s="817">
        <v>685</v>
      </c>
      <c r="T11" s="816">
        <v>684.81000000000006</v>
      </c>
      <c r="U11" s="800"/>
      <c r="V11" s="1289" t="s">
        <v>726</v>
      </c>
      <c r="W11" s="1312"/>
      <c r="X11" s="824" t="s">
        <v>707</v>
      </c>
      <c r="Y11" s="824"/>
      <c r="Z11" s="824"/>
      <c r="AA11" s="850">
        <v>1.38</v>
      </c>
      <c r="AB11" s="849">
        <v>1.46</v>
      </c>
      <c r="AC11" s="849">
        <v>1.35</v>
      </c>
      <c r="AD11" s="848">
        <v>1.53</v>
      </c>
    </row>
    <row r="12" spans="1:30" ht="13.5" customHeight="1" thickTop="1" thickBot="1">
      <c r="A12" s="771" t="s">
        <v>723</v>
      </c>
      <c r="B12" s="822">
        <v>250</v>
      </c>
      <c r="C12" s="840" t="s">
        <v>297</v>
      </c>
      <c r="D12" s="819" t="s">
        <v>725</v>
      </c>
      <c r="E12" s="840">
        <v>0</v>
      </c>
      <c r="F12" s="819" t="s">
        <v>724</v>
      </c>
      <c r="G12" s="818">
        <v>350</v>
      </c>
      <c r="H12" s="738">
        <f>G12</f>
        <v>350</v>
      </c>
      <c r="I12" s="740" t="str">
        <f t="shared" si="0"/>
        <v>Net Realized Inv Gain</v>
      </c>
      <c r="L12" s="751"/>
      <c r="M12" s="762" t="s">
        <v>723</v>
      </c>
      <c r="N12" s="816">
        <v>100</v>
      </c>
      <c r="O12" s="759">
        <v>50</v>
      </c>
      <c r="P12" s="817">
        <v>50</v>
      </c>
      <c r="Q12" s="817">
        <v>50</v>
      </c>
      <c r="R12" s="749"/>
      <c r="S12" s="817">
        <f>SUM(N12:Q12)</f>
        <v>250</v>
      </c>
      <c r="T12" s="816">
        <v>350</v>
      </c>
      <c r="U12" s="800"/>
      <c r="V12" s="1289"/>
      <c r="W12" s="1312"/>
      <c r="X12" s="815" t="s">
        <v>631</v>
      </c>
      <c r="Y12" s="815"/>
      <c r="Z12" s="815"/>
      <c r="AA12" s="847">
        <v>1.62</v>
      </c>
      <c r="AB12" s="846">
        <v>1.63</v>
      </c>
      <c r="AC12" s="846">
        <v>1.55</v>
      </c>
      <c r="AD12" s="845">
        <v>1.1399999999999999</v>
      </c>
    </row>
    <row r="13" spans="1:30" ht="13.5" customHeight="1" thickTop="1" thickBot="1">
      <c r="A13" s="740" t="s">
        <v>720</v>
      </c>
      <c r="B13" s="822">
        <v>0</v>
      </c>
      <c r="C13" s="840" t="s">
        <v>297</v>
      </c>
      <c r="D13" s="819" t="s">
        <v>722</v>
      </c>
      <c r="E13" s="840">
        <v>0</v>
      </c>
      <c r="F13" s="839" t="s">
        <v>721</v>
      </c>
      <c r="G13" s="818">
        <f>$E13*$G7</f>
        <v>0</v>
      </c>
      <c r="H13" s="738">
        <f>$E13*$G7</f>
        <v>0</v>
      </c>
      <c r="I13" s="740" t="str">
        <f t="shared" si="0"/>
        <v>Non-Op Inc</v>
      </c>
      <c r="L13" s="751"/>
      <c r="M13" s="762" t="s">
        <v>720</v>
      </c>
      <c r="N13" s="816">
        <v>0</v>
      </c>
      <c r="O13" s="759">
        <v>0</v>
      </c>
      <c r="P13" s="817">
        <v>0</v>
      </c>
      <c r="Q13" s="817">
        <v>0</v>
      </c>
      <c r="R13" s="749"/>
      <c r="S13" s="817">
        <f>$E13*$G7</f>
        <v>0</v>
      </c>
      <c r="T13" s="816">
        <v>0</v>
      </c>
      <c r="U13" s="800"/>
      <c r="V13" s="1290"/>
      <c r="W13" s="1313"/>
      <c r="X13" s="807" t="s">
        <v>630</v>
      </c>
      <c r="Y13" s="807"/>
      <c r="Z13" s="807"/>
      <c r="AA13" s="844">
        <v>1.1499999999999999</v>
      </c>
      <c r="AB13" s="843">
        <v>1.36</v>
      </c>
      <c r="AC13" s="843">
        <v>1.68</v>
      </c>
      <c r="AD13" s="842">
        <v>1.35</v>
      </c>
    </row>
    <row r="14" spans="1:30" ht="14" thickBot="1">
      <c r="A14" s="775" t="s">
        <v>718</v>
      </c>
      <c r="B14" s="838">
        <f>B9-B10-B11+B12</f>
        <v>2491</v>
      </c>
      <c r="C14" s="780" t="s">
        <v>653</v>
      </c>
      <c r="D14" s="837" t="s">
        <v>719</v>
      </c>
      <c r="E14" s="780" t="s">
        <v>653</v>
      </c>
      <c r="F14" s="836"/>
      <c r="G14" s="835">
        <f>G16+G12</f>
        <v>2839.8020000000006</v>
      </c>
      <c r="H14" s="835">
        <f>H16+H12</f>
        <v>2839.8020000000006</v>
      </c>
      <c r="I14" s="775" t="str">
        <f t="shared" si="0"/>
        <v>Tax Inc</v>
      </c>
      <c r="L14" s="751"/>
      <c r="M14" s="774" t="s">
        <v>718</v>
      </c>
      <c r="N14" s="841">
        <f>N9-N10-N11+N12</f>
        <v>627.17721518987344</v>
      </c>
      <c r="O14" s="773">
        <f>O9-O10-O11+O12</f>
        <v>610.20000000000005</v>
      </c>
      <c r="P14" s="772">
        <f>P9-P10-P11+P12</f>
        <v>610.20000000000005</v>
      </c>
      <c r="Q14" s="772">
        <f>Q9-Q10-Q11+Q12</f>
        <v>610.20000000000005</v>
      </c>
      <c r="R14" s="749"/>
      <c r="S14" s="772">
        <f>S9-S10-S11+S12</f>
        <v>2458</v>
      </c>
      <c r="T14" s="772">
        <f>T9-T10-T11+T12</f>
        <v>2839.8020000000006</v>
      </c>
      <c r="U14" s="800"/>
    </row>
    <row r="15" spans="1:30" ht="14" thickBot="1">
      <c r="A15" s="740" t="s">
        <v>76</v>
      </c>
      <c r="B15" s="822">
        <f>B14*$C$15</f>
        <v>697.48</v>
      </c>
      <c r="C15" s="840">
        <v>0.28000000000000003</v>
      </c>
      <c r="D15" s="821" t="s">
        <v>717</v>
      </c>
      <c r="E15" s="840">
        <v>0.28000000000000003</v>
      </c>
      <c r="F15" s="839" t="s">
        <v>716</v>
      </c>
      <c r="G15" s="818">
        <f>$E15*$G14</f>
        <v>795.1445600000003</v>
      </c>
      <c r="H15" s="738">
        <f>$E15*H14</f>
        <v>795.1445600000003</v>
      </c>
      <c r="I15" s="740" t="str">
        <f t="shared" si="0"/>
        <v>Taxes</v>
      </c>
      <c r="L15" s="751"/>
      <c r="M15" s="762" t="s">
        <v>76</v>
      </c>
      <c r="N15" s="816">
        <f>N14*$C$15</f>
        <v>175.60962025316459</v>
      </c>
      <c r="O15" s="759">
        <f>O14*$C$15</f>
        <v>170.85600000000002</v>
      </c>
      <c r="P15" s="817">
        <f>P14*$C$15</f>
        <v>170.85600000000002</v>
      </c>
      <c r="Q15" s="817">
        <f>Q14*$C$15</f>
        <v>170.85600000000002</v>
      </c>
      <c r="R15" s="749"/>
      <c r="S15" s="817">
        <f>S14*$C$15</f>
        <v>688.24</v>
      </c>
      <c r="T15" s="817">
        <f>T14*$C$15</f>
        <v>795.1445600000003</v>
      </c>
      <c r="U15" s="800"/>
      <c r="V15" s="730"/>
      <c r="W15" s="1292" t="s">
        <v>715</v>
      </c>
      <c r="X15" s="1292"/>
      <c r="Y15" s="1292"/>
      <c r="Z15" s="1292"/>
      <c r="AA15" s="1292"/>
      <c r="AB15" s="1293"/>
    </row>
    <row r="16" spans="1:30" ht="13.25">
      <c r="A16" s="775" t="s">
        <v>713</v>
      </c>
      <c r="B16" s="838">
        <f>B9-B10-B11-B15</f>
        <v>1543.52</v>
      </c>
      <c r="C16" s="780" t="s">
        <v>653</v>
      </c>
      <c r="D16" s="837" t="s">
        <v>714</v>
      </c>
      <c r="E16" s="780" t="s">
        <v>653</v>
      </c>
      <c r="F16" s="836"/>
      <c r="G16" s="835">
        <f>G9-G10-G11</f>
        <v>2489.8020000000006</v>
      </c>
      <c r="H16" s="776">
        <f>H9-H10-H11</f>
        <v>2489.8020000000006</v>
      </c>
      <c r="I16" s="775" t="str">
        <f t="shared" si="0"/>
        <v>Op Inc</v>
      </c>
      <c r="L16" s="751"/>
      <c r="M16" s="774" t="s">
        <v>713</v>
      </c>
      <c r="N16" s="834">
        <f>N9-N10-N11-N15</f>
        <v>351.56759493670882</v>
      </c>
      <c r="O16" s="834">
        <f>O9-O10-O11-O15</f>
        <v>389.34400000000005</v>
      </c>
      <c r="P16" s="834">
        <f>P9-P10-P11-P15</f>
        <v>389.34400000000005</v>
      </c>
      <c r="Q16" s="834">
        <f>Q9-Q10-Q11-Q15</f>
        <v>389.34400000000005</v>
      </c>
      <c r="R16" s="749"/>
      <c r="S16" s="834">
        <f>S9-S10-S11-S15</f>
        <v>1519.76</v>
      </c>
      <c r="T16" s="834">
        <f>T9-T10-T11-T15</f>
        <v>1694.6574400000004</v>
      </c>
      <c r="U16" s="800"/>
      <c r="V16" s="729"/>
      <c r="W16" s="1300" t="s">
        <v>642</v>
      </c>
      <c r="X16" s="1300"/>
      <c r="Y16" s="1300" t="s">
        <v>642</v>
      </c>
      <c r="Z16" s="1300"/>
      <c r="AA16" s="1310" t="s">
        <v>641</v>
      </c>
      <c r="AB16" s="1311"/>
    </row>
    <row r="17" spans="1:28" ht="13.25">
      <c r="A17" s="775" t="s">
        <v>711</v>
      </c>
      <c r="B17" s="838">
        <v>1769.5995949367089</v>
      </c>
      <c r="C17" s="780" t="s">
        <v>653</v>
      </c>
      <c r="D17" s="837" t="s">
        <v>712</v>
      </c>
      <c r="E17" s="780" t="s">
        <v>653</v>
      </c>
      <c r="F17" s="836"/>
      <c r="G17" s="835">
        <f>G14-G15</f>
        <v>2044.6574400000004</v>
      </c>
      <c r="H17" s="776">
        <f>H14-H15</f>
        <v>2044.6574400000004</v>
      </c>
      <c r="I17" s="775" t="str">
        <f t="shared" si="0"/>
        <v>Net Inc</v>
      </c>
      <c r="L17" s="751"/>
      <c r="M17" s="774" t="s">
        <v>711</v>
      </c>
      <c r="N17" s="834">
        <v>451.56759493670882</v>
      </c>
      <c r="O17" s="772">
        <v>439.34400000000005</v>
      </c>
      <c r="P17" s="772">
        <v>439.34400000000005</v>
      </c>
      <c r="Q17" s="772">
        <v>439.34400000000005</v>
      </c>
      <c r="R17" s="749"/>
      <c r="S17" s="834">
        <f>S14-S15</f>
        <v>1769.76</v>
      </c>
      <c r="T17" s="834">
        <f>T14-T15</f>
        <v>2044.6574400000004</v>
      </c>
      <c r="U17" s="800"/>
      <c r="V17" s="727" t="s">
        <v>639</v>
      </c>
      <c r="W17" s="726">
        <v>2007</v>
      </c>
      <c r="X17" s="726">
        <v>2008</v>
      </c>
      <c r="Y17" s="726">
        <v>2009</v>
      </c>
      <c r="Z17" s="726">
        <v>2010</v>
      </c>
      <c r="AA17" s="833" t="s">
        <v>638</v>
      </c>
      <c r="AB17" s="724" t="s">
        <v>637</v>
      </c>
    </row>
    <row r="18" spans="1:28" ht="14" thickBot="1">
      <c r="A18" s="740"/>
      <c r="B18" s="822"/>
      <c r="C18" s="766"/>
      <c r="D18" s="821"/>
      <c r="E18" s="766"/>
      <c r="F18" s="821"/>
      <c r="G18" s="828"/>
      <c r="H18" s="738"/>
      <c r="I18" s="740"/>
      <c r="L18" s="751"/>
      <c r="M18" s="762" t="s">
        <v>710</v>
      </c>
      <c r="N18" s="825">
        <f t="shared" ref="N18:Q19" si="1">N16/N$50</f>
        <v>1.1718919831223626</v>
      </c>
      <c r="O18" s="826">
        <f t="shared" si="1"/>
        <v>1.3265553662691654</v>
      </c>
      <c r="P18" s="826">
        <f t="shared" si="1"/>
        <v>1.3565993031358887</v>
      </c>
      <c r="Q18" s="826">
        <f t="shared" si="1"/>
        <v>1.388035650623886</v>
      </c>
      <c r="R18" s="827"/>
      <c r="S18" s="826">
        <f>S16/S$50</f>
        <v>5.4180392156862744</v>
      </c>
      <c r="T18" s="825">
        <f>T16/T$50</f>
        <v>6.6327101369863026</v>
      </c>
      <c r="U18" s="800"/>
      <c r="V18" s="832" t="s">
        <v>709</v>
      </c>
      <c r="W18" s="831">
        <v>6.41</v>
      </c>
      <c r="X18" s="831">
        <v>5.58</v>
      </c>
      <c r="Y18" s="831">
        <v>6.14</v>
      </c>
      <c r="Z18" s="831">
        <v>5.9</v>
      </c>
      <c r="AA18" s="830">
        <v>5.42</v>
      </c>
      <c r="AB18" s="829">
        <v>6.6327101369863026</v>
      </c>
    </row>
    <row r="19" spans="1:28" ht="14" thickBot="1">
      <c r="A19" s="740"/>
      <c r="B19" s="822"/>
      <c r="C19" s="766"/>
      <c r="D19" s="821"/>
      <c r="E19" s="766"/>
      <c r="F19" s="821"/>
      <c r="G19" s="828"/>
      <c r="H19" s="738"/>
      <c r="I19" s="740"/>
      <c r="L19" s="751"/>
      <c r="M19" s="762" t="s">
        <v>708</v>
      </c>
      <c r="N19" s="825">
        <f t="shared" si="1"/>
        <v>1.5052253164556961</v>
      </c>
      <c r="O19" s="826">
        <f t="shared" si="1"/>
        <v>1.4969131175468486</v>
      </c>
      <c r="P19" s="826">
        <f t="shared" si="1"/>
        <v>1.5308153310104531</v>
      </c>
      <c r="Q19" s="826">
        <f t="shared" si="1"/>
        <v>1.5662887700534762</v>
      </c>
      <c r="R19" s="827"/>
      <c r="S19" s="826">
        <f>S17/S$50</f>
        <v>6.3093048128342248</v>
      </c>
      <c r="T19" s="825">
        <f>T17/T$50</f>
        <v>8.0025731506849329</v>
      </c>
      <c r="U19" s="800"/>
      <c r="V19" s="1289" t="s">
        <v>633</v>
      </c>
      <c r="W19" s="824" t="s">
        <v>707</v>
      </c>
      <c r="X19" s="824"/>
      <c r="Y19" s="824"/>
      <c r="Z19" s="824"/>
      <c r="AA19" s="824">
        <v>5.68</v>
      </c>
      <c r="AB19" s="823">
        <v>5.81</v>
      </c>
    </row>
    <row r="20" spans="1:28" ht="13.5" customHeight="1" thickTop="1" thickBot="1">
      <c r="A20" s="740" t="s">
        <v>703</v>
      </c>
      <c r="B20" s="822">
        <v>400</v>
      </c>
      <c r="C20" s="820" t="s">
        <v>705</v>
      </c>
      <c r="D20" s="821" t="s">
        <v>706</v>
      </c>
      <c r="E20" s="820" t="s">
        <v>705</v>
      </c>
      <c r="F20" s="819" t="s">
        <v>704</v>
      </c>
      <c r="G20" s="818">
        <v>400</v>
      </c>
      <c r="H20" s="738">
        <v>400</v>
      </c>
      <c r="I20" s="740" t="str">
        <f>A20</f>
        <v>Dividend</v>
      </c>
      <c r="L20" s="751"/>
      <c r="M20" s="762" t="s">
        <v>703</v>
      </c>
      <c r="N20" s="816">
        <v>100</v>
      </c>
      <c r="O20" s="759">
        <v>100</v>
      </c>
      <c r="P20" s="817">
        <v>100</v>
      </c>
      <c r="Q20" s="817">
        <v>100</v>
      </c>
      <c r="R20" s="749"/>
      <c r="S20" s="817">
        <v>400</v>
      </c>
      <c r="T20" s="816">
        <v>400</v>
      </c>
      <c r="U20" s="800"/>
      <c r="V20" s="1289"/>
      <c r="W20" s="815" t="s">
        <v>631</v>
      </c>
      <c r="X20" s="815"/>
      <c r="Y20" s="815"/>
      <c r="Z20" s="815"/>
      <c r="AA20" s="815">
        <v>6.09</v>
      </c>
      <c r="AB20" s="814">
        <v>6.85</v>
      </c>
    </row>
    <row r="21" spans="1:28" ht="14.25" customHeight="1" thickTop="1" thickBot="1">
      <c r="A21" s="752" t="s">
        <v>701</v>
      </c>
      <c r="B21" s="813">
        <v>1369.5995949367089</v>
      </c>
      <c r="C21" s="757" t="s">
        <v>653</v>
      </c>
      <c r="D21" s="812" t="s">
        <v>702</v>
      </c>
      <c r="E21" s="757" t="s">
        <v>653</v>
      </c>
      <c r="F21" s="811"/>
      <c r="G21" s="810">
        <f>G17-G20</f>
        <v>1644.6574400000004</v>
      </c>
      <c r="H21" s="753">
        <f>H17-H20</f>
        <v>1644.6574400000004</v>
      </c>
      <c r="I21" s="752" t="str">
        <f>A21</f>
        <v>R/Inc</v>
      </c>
      <c r="L21" s="751"/>
      <c r="M21" s="750" t="s">
        <v>701</v>
      </c>
      <c r="N21" s="809">
        <v>351.56759493670882</v>
      </c>
      <c r="O21" s="748">
        <v>339.34400000000005</v>
      </c>
      <c r="P21" s="748">
        <v>339.34400000000005</v>
      </c>
      <c r="Q21" s="748">
        <v>339.34400000000005</v>
      </c>
      <c r="R21" s="749"/>
      <c r="S21" s="808">
        <v>1369.5995949367089</v>
      </c>
      <c r="T21" s="808">
        <f>T17-T20</f>
        <v>1644.6574400000004</v>
      </c>
      <c r="U21" s="800"/>
      <c r="V21" s="1290"/>
      <c r="W21" s="807" t="s">
        <v>630</v>
      </c>
      <c r="X21" s="807"/>
      <c r="Y21" s="807"/>
      <c r="Z21" s="807"/>
      <c r="AA21" s="807">
        <v>5.2</v>
      </c>
      <c r="AB21" s="806">
        <v>5</v>
      </c>
    </row>
    <row r="22" spans="1:28" ht="14.25" customHeight="1" thickTop="1">
      <c r="D22" s="705" t="s">
        <v>430</v>
      </c>
      <c r="L22" s="751"/>
      <c r="M22" s="800"/>
      <c r="N22" s="805"/>
      <c r="O22" s="805"/>
      <c r="P22" s="805"/>
      <c r="Q22" s="805"/>
      <c r="R22" s="800"/>
      <c r="S22" s="805"/>
      <c r="T22" s="805"/>
      <c r="U22" s="747"/>
    </row>
    <row r="23" spans="1:28" ht="14" thickBot="1">
      <c r="A23" s="802" t="s">
        <v>223</v>
      </c>
      <c r="B23" s="803"/>
      <c r="C23" s="804"/>
      <c r="D23" s="804"/>
      <c r="E23" s="804"/>
      <c r="F23" s="804"/>
      <c r="G23" s="803"/>
      <c r="H23" s="803"/>
      <c r="I23" s="802"/>
      <c r="L23" s="751"/>
      <c r="M23" s="801" t="s">
        <v>223</v>
      </c>
      <c r="N23" s="799"/>
      <c r="O23" s="799"/>
      <c r="P23" s="799"/>
      <c r="Q23" s="799"/>
      <c r="R23" s="800"/>
      <c r="S23" s="799"/>
      <c r="T23" s="799"/>
      <c r="U23" s="747"/>
    </row>
    <row r="24" spans="1:28" ht="13.25">
      <c r="A24" s="798" t="s">
        <v>486</v>
      </c>
      <c r="B24" s="797">
        <v>43191.903598987337</v>
      </c>
      <c r="C24" s="796">
        <f>B24/B$7</f>
        <v>3.3112468260493206</v>
      </c>
      <c r="D24" s="794" t="s">
        <v>700</v>
      </c>
      <c r="E24" s="795" t="s">
        <v>699</v>
      </c>
      <c r="F24" s="794" t="s">
        <v>698</v>
      </c>
      <c r="G24" s="793">
        <f>B24+G21*0.99-G20-1500</f>
        <v>42920.114464587336</v>
      </c>
      <c r="H24" s="792">
        <f>G24</f>
        <v>42920.114464587336</v>
      </c>
      <c r="I24" s="791" t="str">
        <f t="shared" ref="I24:I33" si="2">A24</f>
        <v>Investments</v>
      </c>
      <c r="L24" s="751"/>
      <c r="M24" s="790" t="s">
        <v>697</v>
      </c>
      <c r="N24" s="788">
        <v>42184.051918987345</v>
      </c>
      <c r="O24" s="789">
        <v>42520.002478987342</v>
      </c>
      <c r="P24" s="788">
        <v>42855.95303898734</v>
      </c>
      <c r="Q24" s="788">
        <v>43191.903598987337</v>
      </c>
      <c r="R24" s="749"/>
      <c r="S24" s="788">
        <f>Q24</f>
        <v>43191.903598987337</v>
      </c>
      <c r="T24" s="788">
        <v>42920.114464587336</v>
      </c>
      <c r="U24" s="747"/>
    </row>
    <row r="25" spans="1:28" ht="13.25">
      <c r="A25" s="771" t="s">
        <v>694</v>
      </c>
      <c r="B25" s="767">
        <v>1956.6</v>
      </c>
      <c r="C25" s="784">
        <f>B25/B$7/4</f>
        <v>3.7499999999999999E-2</v>
      </c>
      <c r="D25" s="763" t="s">
        <v>696</v>
      </c>
      <c r="E25" s="785">
        <f>15%/4</f>
        <v>3.7499999999999999E-2</v>
      </c>
      <c r="F25" s="763" t="s">
        <v>695</v>
      </c>
      <c r="G25" s="739">
        <f>4*$E25*$G$7</f>
        <v>2054.4299999999998</v>
      </c>
      <c r="H25" s="738">
        <f>4*$E25*$G$7</f>
        <v>2054.4299999999998</v>
      </c>
      <c r="I25" s="740" t="str">
        <f t="shared" si="2"/>
        <v>Premiums Rec</v>
      </c>
      <c r="L25" s="751"/>
      <c r="M25" s="762" t="s">
        <v>694</v>
      </c>
      <c r="N25" s="759">
        <v>1956.6</v>
      </c>
      <c r="O25" s="768">
        <v>1956.6</v>
      </c>
      <c r="P25" s="759">
        <v>1956.6</v>
      </c>
      <c r="Q25" s="759">
        <v>1956.6</v>
      </c>
      <c r="R25" s="749"/>
      <c r="S25" s="759">
        <f>Q25</f>
        <v>1956.6</v>
      </c>
      <c r="T25" s="759">
        <v>2054.4299999999998</v>
      </c>
      <c r="U25" s="747"/>
    </row>
    <row r="26" spans="1:28" ht="13.25">
      <c r="A26" s="740" t="s">
        <v>692</v>
      </c>
      <c r="B26" s="767">
        <v>719</v>
      </c>
      <c r="C26" s="784">
        <f>B26/B$7</f>
        <v>5.5121128488193803E-2</v>
      </c>
      <c r="D26" s="765" t="s">
        <v>666</v>
      </c>
      <c r="E26" s="785" t="s">
        <v>671</v>
      </c>
      <c r="F26" s="763" t="s">
        <v>693</v>
      </c>
      <c r="G26" s="739">
        <v>795.5</v>
      </c>
      <c r="H26" s="738">
        <f ca="1">IF(H57&lt;0,-H57,0)</f>
        <v>795.67407034936332</v>
      </c>
      <c r="I26" s="740" t="str">
        <f t="shared" si="2"/>
        <v>Other</v>
      </c>
      <c r="L26" s="751"/>
      <c r="M26" s="762" t="s">
        <v>692</v>
      </c>
      <c r="N26" s="759">
        <v>708.8</v>
      </c>
      <c r="O26" s="768">
        <v>712.10911594936624</v>
      </c>
      <c r="P26" s="759">
        <v>715</v>
      </c>
      <c r="Q26" s="759">
        <v>719</v>
      </c>
      <c r="R26" s="749"/>
      <c r="S26" s="759">
        <v>719</v>
      </c>
      <c r="T26" s="759">
        <v>795.5</v>
      </c>
      <c r="U26" s="747"/>
    </row>
    <row r="27" spans="1:28" ht="13.25">
      <c r="A27" s="740" t="s">
        <v>691</v>
      </c>
      <c r="B27" s="767">
        <v>65.22</v>
      </c>
      <c r="C27" s="784">
        <f>B27/B$7</f>
        <v>5.0000000000000001E-3</v>
      </c>
      <c r="D27" s="765" t="s">
        <v>666</v>
      </c>
      <c r="E27" s="787">
        <v>5.0000000000000001E-3</v>
      </c>
      <c r="F27" s="765" t="s">
        <v>666</v>
      </c>
      <c r="G27" s="739">
        <f>$E27*$G$7</f>
        <v>68.481000000000009</v>
      </c>
      <c r="H27" s="738">
        <f>$E27*$G$7</f>
        <v>68.481000000000009</v>
      </c>
      <c r="I27" s="740" t="str">
        <f t="shared" si="2"/>
        <v>Oper. Cash</v>
      </c>
      <c r="L27" s="751"/>
      <c r="M27" s="762" t="s">
        <v>691</v>
      </c>
      <c r="N27" s="759">
        <v>65.22</v>
      </c>
      <c r="O27" s="768">
        <v>65.22</v>
      </c>
      <c r="P27" s="759">
        <v>65.22</v>
      </c>
      <c r="Q27" s="759">
        <v>65.22</v>
      </c>
      <c r="R27" s="749"/>
      <c r="S27" s="759">
        <v>65.22</v>
      </c>
      <c r="T27" s="759">
        <v>68.481000000000009</v>
      </c>
      <c r="U27" s="747"/>
    </row>
    <row r="28" spans="1:28" ht="13.25">
      <c r="A28" s="740" t="s">
        <v>124</v>
      </c>
      <c r="B28" s="767">
        <v>0</v>
      </c>
      <c r="C28" s="784" t="s">
        <v>671</v>
      </c>
      <c r="D28" s="765" t="s">
        <v>672</v>
      </c>
      <c r="E28" s="785" t="s">
        <v>671</v>
      </c>
      <c r="F28" s="765"/>
      <c r="G28" s="739"/>
      <c r="H28" s="738"/>
      <c r="I28" s="740" t="str">
        <f t="shared" si="2"/>
        <v>Excess Cash</v>
      </c>
      <c r="L28" s="751"/>
      <c r="M28" s="762" t="s">
        <v>124</v>
      </c>
      <c r="N28" s="759">
        <v>0</v>
      </c>
      <c r="O28" s="768">
        <v>0</v>
      </c>
      <c r="P28" s="759">
        <v>0</v>
      </c>
      <c r="Q28" s="759">
        <v>0</v>
      </c>
      <c r="R28" s="749"/>
      <c r="S28" s="759">
        <v>0</v>
      </c>
      <c r="T28" s="759"/>
      <c r="U28" s="747"/>
    </row>
    <row r="29" spans="1:28" ht="13.25">
      <c r="A29" s="775" t="s">
        <v>689</v>
      </c>
      <c r="B29" s="781">
        <v>45932.723598987337</v>
      </c>
      <c r="C29" s="780" t="s">
        <v>653</v>
      </c>
      <c r="D29" s="778" t="s">
        <v>690</v>
      </c>
      <c r="E29" s="779" t="s">
        <v>653</v>
      </c>
      <c r="F29" s="778"/>
      <c r="G29" s="777">
        <f>SUM(G24:G28)</f>
        <v>45838.525464587336</v>
      </c>
      <c r="H29" s="776">
        <f ca="1">SUM(H24:H28)</f>
        <v>45838.699534936699</v>
      </c>
      <c r="I29" s="775" t="str">
        <f t="shared" si="2"/>
        <v>Curr Assets</v>
      </c>
      <c r="L29" s="751"/>
      <c r="M29" s="774" t="s">
        <v>689</v>
      </c>
      <c r="N29" s="772">
        <f>SUM(N24:N28)</f>
        <v>44914.671918987347</v>
      </c>
      <c r="O29" s="773">
        <f>SUM(O24:O28)</f>
        <v>45253.931594936708</v>
      </c>
      <c r="P29" s="772">
        <f>SUM(P24:P28)</f>
        <v>45592.77303898734</v>
      </c>
      <c r="Q29" s="772">
        <f>SUM(Q24:Q28)</f>
        <v>45932.723598987337</v>
      </c>
      <c r="R29" s="749"/>
      <c r="S29" s="772">
        <f>SUM(S24:S28)</f>
        <v>45932.723598987337</v>
      </c>
      <c r="T29" s="772">
        <f>SUM(T24:T28)</f>
        <v>45838.525464587336</v>
      </c>
      <c r="U29" s="747"/>
    </row>
    <row r="30" spans="1:28" ht="13.25">
      <c r="A30" s="740" t="s">
        <v>451</v>
      </c>
      <c r="B30" s="767">
        <v>22755</v>
      </c>
      <c r="C30" s="784">
        <v>0</v>
      </c>
      <c r="D30" s="763" t="s">
        <v>688</v>
      </c>
      <c r="E30" s="785">
        <v>0</v>
      </c>
      <c r="F30" s="763" t="s">
        <v>687</v>
      </c>
      <c r="G30" s="739">
        <f>B30</f>
        <v>22755</v>
      </c>
      <c r="H30" s="739">
        <f>B30</f>
        <v>22755</v>
      </c>
      <c r="I30" s="740" t="str">
        <f t="shared" si="2"/>
        <v>Unpaid Losses and Loss Expenses</v>
      </c>
      <c r="L30" s="751"/>
      <c r="M30" s="762" t="s">
        <v>451</v>
      </c>
      <c r="N30" s="759">
        <v>22755</v>
      </c>
      <c r="O30" s="768">
        <v>22755</v>
      </c>
      <c r="P30" s="759">
        <v>22755</v>
      </c>
      <c r="Q30" s="759">
        <v>22755</v>
      </c>
      <c r="R30" s="749"/>
      <c r="S30" s="759">
        <f>N30</f>
        <v>22755</v>
      </c>
      <c r="T30" s="759">
        <v>22755</v>
      </c>
      <c r="U30" s="747"/>
    </row>
    <row r="31" spans="1:28" ht="13.25">
      <c r="A31" s="771" t="s">
        <v>686</v>
      </c>
      <c r="B31" s="767">
        <v>6195.9</v>
      </c>
      <c r="C31" s="784">
        <f>B31/B$7</f>
        <v>0.47499999999999998</v>
      </c>
      <c r="D31" s="765" t="s">
        <v>666</v>
      </c>
      <c r="E31" s="785">
        <f>190%/4</f>
        <v>0.47499999999999998</v>
      </c>
      <c r="F31" s="763" t="s">
        <v>679</v>
      </c>
      <c r="G31" s="739">
        <f>$E31*$G$7</f>
        <v>6505.6949999999997</v>
      </c>
      <c r="H31" s="738">
        <f>$E31*$G$7</f>
        <v>6505.6949999999997</v>
      </c>
      <c r="I31" s="740" t="str">
        <f t="shared" si="2"/>
        <v>Unearned Prem</v>
      </c>
      <c r="L31" s="751"/>
      <c r="M31" s="762" t="s">
        <v>686</v>
      </c>
      <c r="N31" s="759">
        <v>6195.9</v>
      </c>
      <c r="O31" s="768">
        <v>6195.9</v>
      </c>
      <c r="P31" s="759">
        <v>6195.9</v>
      </c>
      <c r="Q31" s="759">
        <v>6195.9</v>
      </c>
      <c r="R31" s="749"/>
      <c r="S31" s="759">
        <v>6195.9</v>
      </c>
      <c r="T31" s="759">
        <v>6505.6949999999997</v>
      </c>
      <c r="U31" s="747"/>
    </row>
    <row r="32" spans="1:28" ht="13.25">
      <c r="A32" s="740" t="s">
        <v>684</v>
      </c>
      <c r="B32" s="767">
        <v>1304.4000000000001</v>
      </c>
      <c r="C32" s="784">
        <f>B32/B$7</f>
        <v>0.1</v>
      </c>
      <c r="D32" s="765" t="s">
        <v>666</v>
      </c>
      <c r="E32" s="785">
        <f>40%/4</f>
        <v>0.1</v>
      </c>
      <c r="F32" s="763" t="s">
        <v>685</v>
      </c>
      <c r="G32" s="739">
        <f>$E32*$G$7</f>
        <v>1369.6200000000001</v>
      </c>
      <c r="H32" s="738">
        <f>$E32*$G$7</f>
        <v>1369.6200000000001</v>
      </c>
      <c r="I32" s="740" t="str">
        <f t="shared" si="2"/>
        <v>Other CL</v>
      </c>
      <c r="L32" s="751"/>
      <c r="M32" s="762" t="s">
        <v>684</v>
      </c>
      <c r="N32" s="759">
        <v>1304.4000000000001</v>
      </c>
      <c r="O32" s="768">
        <v>1304.4000000000001</v>
      </c>
      <c r="P32" s="759">
        <v>1304.4000000000001</v>
      </c>
      <c r="Q32" s="759">
        <v>1304.4000000000001</v>
      </c>
      <c r="R32" s="749"/>
      <c r="S32" s="759">
        <v>1304.4000000000001</v>
      </c>
      <c r="T32" s="759">
        <v>1369.6200000000001</v>
      </c>
      <c r="U32" s="747"/>
    </row>
    <row r="33" spans="1:21" ht="13.25">
      <c r="A33" s="775" t="s">
        <v>682</v>
      </c>
      <c r="B33" s="781">
        <v>30255.300000000003</v>
      </c>
      <c r="C33" s="780" t="s">
        <v>653</v>
      </c>
      <c r="D33" s="778" t="s">
        <v>683</v>
      </c>
      <c r="E33" s="779" t="s">
        <v>653</v>
      </c>
      <c r="F33" s="778"/>
      <c r="G33" s="777">
        <f>SUM(G30:G32)</f>
        <v>30630.314999999999</v>
      </c>
      <c r="H33" s="777">
        <f>SUM(H30:H32)</f>
        <v>30630.314999999999</v>
      </c>
      <c r="I33" s="775" t="str">
        <f t="shared" si="2"/>
        <v>Curr Liabs</v>
      </c>
      <c r="L33" s="751"/>
      <c r="M33" s="774" t="s">
        <v>682</v>
      </c>
      <c r="N33" s="772">
        <f>SUM(N30:N32)</f>
        <v>30255.300000000003</v>
      </c>
      <c r="O33" s="773">
        <f>SUM(O30:O32)</f>
        <v>30255.300000000003</v>
      </c>
      <c r="P33" s="772">
        <f>SUM(P30:P32)</f>
        <v>30255.300000000003</v>
      </c>
      <c r="Q33" s="772">
        <f>SUM(Q30:Q32)</f>
        <v>30255.300000000003</v>
      </c>
      <c r="R33" s="749"/>
      <c r="S33" s="772">
        <f>SUM(S30:S32)</f>
        <v>30255.300000000003</v>
      </c>
      <c r="T33" s="772">
        <f>SUM(T30:T32)</f>
        <v>30630.314999999999</v>
      </c>
      <c r="U33" s="747"/>
    </row>
    <row r="34" spans="1:21" ht="13.25">
      <c r="A34" s="740"/>
      <c r="B34" s="767"/>
      <c r="C34" s="784" t="s">
        <v>297</v>
      </c>
      <c r="D34" s="765"/>
      <c r="E34" s="785" t="s">
        <v>297</v>
      </c>
      <c r="F34" s="765"/>
      <c r="G34" s="739"/>
      <c r="H34" s="738"/>
      <c r="I34" s="740"/>
      <c r="L34" s="751"/>
      <c r="M34" s="762"/>
      <c r="N34" s="759"/>
      <c r="O34" s="768"/>
      <c r="P34" s="759"/>
      <c r="Q34" s="759"/>
      <c r="R34" s="749"/>
      <c r="S34" s="759"/>
      <c r="T34" s="759"/>
      <c r="U34" s="747"/>
    </row>
    <row r="35" spans="1:21" ht="13.25">
      <c r="A35" s="775" t="s">
        <v>680</v>
      </c>
      <c r="B35" s="781">
        <v>15677.423598987334</v>
      </c>
      <c r="C35" s="780" t="s">
        <v>653</v>
      </c>
      <c r="D35" s="778" t="s">
        <v>681</v>
      </c>
      <c r="E35" s="779" t="s">
        <v>653</v>
      </c>
      <c r="F35" s="778"/>
      <c r="G35" s="777">
        <f>G29-G33-G28</f>
        <v>15208.210464587337</v>
      </c>
      <c r="H35" s="777">
        <f ca="1">H29-H33-H28</f>
        <v>15208.3845349367</v>
      </c>
      <c r="I35" s="775" t="str">
        <f>A35</f>
        <v>Op W. Cap</v>
      </c>
      <c r="L35" s="751"/>
      <c r="M35" s="774" t="s">
        <v>680</v>
      </c>
      <c r="N35" s="772">
        <f>N29-N33-N28</f>
        <v>14659.371918987345</v>
      </c>
      <c r="O35" s="773">
        <f>O29-O33-O28</f>
        <v>14998.631594936705</v>
      </c>
      <c r="P35" s="772">
        <f>P29-P33-P28</f>
        <v>15337.473038987337</v>
      </c>
      <c r="Q35" s="772">
        <f>Q29-Q33-Q28</f>
        <v>15677.423598987334</v>
      </c>
      <c r="R35" s="749"/>
      <c r="S35" s="772">
        <f>S29-S33-S28</f>
        <v>15677.423598987334</v>
      </c>
      <c r="T35" s="772">
        <f>T29-T33-T28</f>
        <v>15208.210464587337</v>
      </c>
      <c r="U35" s="747"/>
    </row>
    <row r="36" spans="1:21" ht="13.25">
      <c r="A36" s="740"/>
      <c r="B36" s="767"/>
      <c r="C36" s="784" t="s">
        <v>297</v>
      </c>
      <c r="D36" s="765"/>
      <c r="E36" s="785" t="s">
        <v>297</v>
      </c>
      <c r="F36" s="765"/>
      <c r="G36" s="739"/>
      <c r="H36" s="738"/>
      <c r="I36" s="740"/>
      <c r="L36" s="751"/>
      <c r="M36" s="762"/>
      <c r="N36" s="759"/>
      <c r="O36" s="768"/>
      <c r="P36" s="759"/>
      <c r="Q36" s="759"/>
      <c r="R36" s="749"/>
      <c r="S36" s="759"/>
      <c r="T36" s="759"/>
      <c r="U36" s="747"/>
    </row>
    <row r="37" spans="1:21" ht="13.25">
      <c r="A37" s="771" t="s">
        <v>678</v>
      </c>
      <c r="B37" s="767">
        <v>1630.5</v>
      </c>
      <c r="C37" s="784">
        <f>B37/B$7</f>
        <v>0.125</v>
      </c>
      <c r="D37" s="765" t="s">
        <v>666</v>
      </c>
      <c r="E37" s="785">
        <f>50%/4</f>
        <v>0.125</v>
      </c>
      <c r="F37" s="763" t="s">
        <v>679</v>
      </c>
      <c r="G37" s="739">
        <f>$E37*$G$7</f>
        <v>1712.0250000000001</v>
      </c>
      <c r="H37" s="738">
        <f>$E37*$G$7</f>
        <v>1712.0250000000001</v>
      </c>
      <c r="I37" s="740" t="str">
        <f>A37</f>
        <v>Reinsurance Recoverable</v>
      </c>
      <c r="L37" s="751"/>
      <c r="M37" s="762" t="s">
        <v>678</v>
      </c>
      <c r="N37" s="759">
        <v>1630.5</v>
      </c>
      <c r="O37" s="768">
        <v>1630.5</v>
      </c>
      <c r="P37" s="759">
        <v>1630.5</v>
      </c>
      <c r="Q37" s="759">
        <v>1630.5</v>
      </c>
      <c r="R37" s="749"/>
      <c r="S37" s="759">
        <v>1630.5</v>
      </c>
      <c r="T37" s="759">
        <v>1712.0250000000001</v>
      </c>
      <c r="U37" s="747"/>
    </row>
    <row r="38" spans="1:21" ht="13.25">
      <c r="A38" s="740" t="s">
        <v>677</v>
      </c>
      <c r="B38" s="767">
        <v>2801</v>
      </c>
      <c r="C38" s="784">
        <f>B38/B$7</f>
        <v>0.21473474394357558</v>
      </c>
      <c r="D38" s="765" t="s">
        <v>666</v>
      </c>
      <c r="E38" s="785">
        <f>C38</f>
        <v>0.21473474394357558</v>
      </c>
      <c r="F38" s="763" t="s">
        <v>666</v>
      </c>
      <c r="G38" s="739">
        <f>$E38*$G$7</f>
        <v>2941.05</v>
      </c>
      <c r="H38" s="738">
        <f>$E38*$G$7</f>
        <v>2941.05</v>
      </c>
      <c r="I38" s="740" t="str">
        <f>A38</f>
        <v>Other FA</v>
      </c>
      <c r="L38" s="751"/>
      <c r="M38" s="762" t="s">
        <v>677</v>
      </c>
      <c r="N38" s="759">
        <v>2801</v>
      </c>
      <c r="O38" s="768">
        <v>2801</v>
      </c>
      <c r="P38" s="759">
        <v>2801</v>
      </c>
      <c r="Q38" s="759">
        <v>2801</v>
      </c>
      <c r="R38" s="749"/>
      <c r="S38" s="759">
        <v>2801</v>
      </c>
      <c r="T38" s="759">
        <v>2941.05</v>
      </c>
      <c r="U38" s="747"/>
    </row>
    <row r="39" spans="1:21" ht="13.25">
      <c r="A39" s="775" t="s">
        <v>675</v>
      </c>
      <c r="B39" s="781">
        <v>4431.5</v>
      </c>
      <c r="C39" s="780" t="s">
        <v>653</v>
      </c>
      <c r="D39" s="778" t="s">
        <v>676</v>
      </c>
      <c r="E39" s="779" t="s">
        <v>653</v>
      </c>
      <c r="F39" s="778"/>
      <c r="G39" s="777">
        <f>SUM(G37:G38)</f>
        <v>4653.0750000000007</v>
      </c>
      <c r="H39" s="776">
        <f>SUM(H37:H38)</f>
        <v>4653.0750000000007</v>
      </c>
      <c r="I39" s="775" t="str">
        <f>A39</f>
        <v>Total F Assets</v>
      </c>
      <c r="L39" s="751"/>
      <c r="M39" s="774" t="s">
        <v>675</v>
      </c>
      <c r="N39" s="772">
        <f>SUM(N37:N38)</f>
        <v>4431.5</v>
      </c>
      <c r="O39" s="773">
        <f>SUM(O37:O38)</f>
        <v>4431.5</v>
      </c>
      <c r="P39" s="772">
        <f>SUM(P37:P38)</f>
        <v>4431.5</v>
      </c>
      <c r="Q39" s="772">
        <f>SUM(Q37:Q38)</f>
        <v>4431.5</v>
      </c>
      <c r="R39" s="749"/>
      <c r="S39" s="772">
        <f>SUM(S37:S38)</f>
        <v>4431.5</v>
      </c>
      <c r="T39" s="772">
        <f>SUM(T37:T38)</f>
        <v>4653.0750000000007</v>
      </c>
      <c r="U39" s="747"/>
    </row>
    <row r="40" spans="1:21" ht="13.25">
      <c r="A40" s="740"/>
      <c r="B40" s="767"/>
      <c r="C40" s="784" t="s">
        <v>297</v>
      </c>
      <c r="D40" s="765"/>
      <c r="E40" s="785" t="s">
        <v>297</v>
      </c>
      <c r="F40" s="765"/>
      <c r="G40" s="739"/>
      <c r="H40" s="738"/>
      <c r="I40" s="740"/>
      <c r="L40" s="751"/>
      <c r="M40" s="762"/>
      <c r="N40" s="759"/>
      <c r="O40" s="768"/>
      <c r="P40" s="759"/>
      <c r="Q40" s="759"/>
      <c r="R40" s="749"/>
      <c r="S40" s="759"/>
      <c r="T40" s="759"/>
      <c r="U40" s="747"/>
    </row>
    <row r="41" spans="1:21" ht="14" thickBot="1">
      <c r="A41" s="752" t="s">
        <v>673</v>
      </c>
      <c r="B41" s="758">
        <v>20108.923598987334</v>
      </c>
      <c r="C41" s="757" t="s">
        <v>653</v>
      </c>
      <c r="D41" s="755" t="s">
        <v>674</v>
      </c>
      <c r="E41" s="756" t="s">
        <v>653</v>
      </c>
      <c r="F41" s="755"/>
      <c r="G41" s="754">
        <f>G35+G39+G28</f>
        <v>19861.285464587338</v>
      </c>
      <c r="H41" s="754">
        <f ca="1">H35+H39+H28</f>
        <v>19861.459534936701</v>
      </c>
      <c r="I41" s="752" t="str">
        <f>A41</f>
        <v>Total Assets</v>
      </c>
      <c r="L41" s="751"/>
      <c r="M41" s="750" t="s">
        <v>673</v>
      </c>
      <c r="N41" s="748">
        <f>N35+N39+N28</f>
        <v>19090.871918987345</v>
      </c>
      <c r="O41" s="786">
        <f>O35+O39+O28</f>
        <v>19430.131594936705</v>
      </c>
      <c r="P41" s="748">
        <f>P35+P39+P28</f>
        <v>19768.973038987337</v>
      </c>
      <c r="Q41" s="748">
        <f>Q35+Q39+Q28</f>
        <v>20108.923598987334</v>
      </c>
      <c r="R41" s="749"/>
      <c r="S41" s="748">
        <f>S35+S39+S28</f>
        <v>20108.923598987334</v>
      </c>
      <c r="T41" s="748">
        <f>T35+T39+T28</f>
        <v>19861.285464587338</v>
      </c>
      <c r="U41" s="747"/>
    </row>
    <row r="42" spans="1:21" ht="14" thickTop="1">
      <c r="A42" s="740"/>
      <c r="B42" s="767"/>
      <c r="C42" s="784" t="s">
        <v>297</v>
      </c>
      <c r="D42" s="765"/>
      <c r="E42" s="785" t="s">
        <v>297</v>
      </c>
      <c r="F42" s="765"/>
      <c r="G42" s="739"/>
      <c r="H42" s="738"/>
      <c r="I42" s="740"/>
      <c r="L42" s="751"/>
      <c r="M42" s="762"/>
      <c r="N42" s="759"/>
      <c r="O42" s="768"/>
      <c r="P42" s="759"/>
      <c r="Q42" s="759"/>
      <c r="R42" s="749"/>
      <c r="S42" s="759"/>
      <c r="T42" s="759"/>
      <c r="U42" s="747"/>
    </row>
    <row r="43" spans="1:21" ht="13.25">
      <c r="A43" s="740" t="s">
        <v>670</v>
      </c>
      <c r="B43" s="767">
        <v>0</v>
      </c>
      <c r="C43" s="784" t="s">
        <v>671</v>
      </c>
      <c r="D43" s="765" t="s">
        <v>672</v>
      </c>
      <c r="E43" s="785" t="s">
        <v>671</v>
      </c>
      <c r="F43" s="765"/>
      <c r="G43" s="739">
        <v>0</v>
      </c>
      <c r="H43" s="738">
        <v>0</v>
      </c>
      <c r="I43" s="740" t="str">
        <f>A43</f>
        <v>S.T. Debt</v>
      </c>
      <c r="L43" s="751"/>
      <c r="M43" s="762" t="s">
        <v>670</v>
      </c>
      <c r="N43" s="759">
        <v>0</v>
      </c>
      <c r="O43" s="768">
        <v>0</v>
      </c>
      <c r="P43" s="759">
        <v>0</v>
      </c>
      <c r="Q43" s="759">
        <v>0</v>
      </c>
      <c r="R43" s="749"/>
      <c r="S43" s="759">
        <v>0</v>
      </c>
      <c r="T43" s="759">
        <v>0</v>
      </c>
      <c r="U43" s="747"/>
    </row>
    <row r="44" spans="1:21" ht="13.25">
      <c r="A44" s="740"/>
      <c r="B44" s="767"/>
      <c r="C44" s="784" t="s">
        <v>297</v>
      </c>
      <c r="D44" s="765"/>
      <c r="E44" s="785" t="s">
        <v>297</v>
      </c>
      <c r="F44" s="765"/>
      <c r="G44" s="739"/>
      <c r="H44" s="738"/>
      <c r="I44" s="740"/>
      <c r="L44" s="751"/>
      <c r="M44" s="762"/>
      <c r="N44" s="759"/>
      <c r="O44" s="768"/>
      <c r="P44" s="759"/>
      <c r="Q44" s="759"/>
      <c r="R44" s="749"/>
      <c r="S44" s="759"/>
      <c r="T44" s="759"/>
      <c r="U44" s="747"/>
    </row>
    <row r="45" spans="1:21" ht="13.25">
      <c r="A45" s="740" t="s">
        <v>667</v>
      </c>
      <c r="B45" s="767">
        <v>3975</v>
      </c>
      <c r="C45" s="784" t="s">
        <v>669</v>
      </c>
      <c r="D45" s="765"/>
      <c r="E45" s="784" t="s">
        <v>669</v>
      </c>
      <c r="F45" s="763" t="s">
        <v>668</v>
      </c>
      <c r="G45" s="739">
        <v>3575</v>
      </c>
      <c r="H45" s="738">
        <f>G45</f>
        <v>3575</v>
      </c>
      <c r="I45" s="740" t="str">
        <f>A45</f>
        <v>L.t. Debt</v>
      </c>
      <c r="L45" s="751"/>
      <c r="M45" s="762" t="s">
        <v>667</v>
      </c>
      <c r="N45" s="759">
        <v>3975</v>
      </c>
      <c r="O45" s="768">
        <v>3975</v>
      </c>
      <c r="P45" s="759">
        <v>3975</v>
      </c>
      <c r="Q45" s="759">
        <v>3975</v>
      </c>
      <c r="R45" s="749"/>
      <c r="S45" s="759">
        <f>N45</f>
        <v>3975</v>
      </c>
      <c r="T45" s="759">
        <v>3575</v>
      </c>
      <c r="U45" s="747"/>
    </row>
    <row r="46" spans="1:21" ht="13.25">
      <c r="A46" s="740" t="s">
        <v>665</v>
      </c>
      <c r="B46" s="767">
        <v>163.05000000000001</v>
      </c>
      <c r="C46" s="784">
        <f>B46/B$7</f>
        <v>1.2500000000000001E-2</v>
      </c>
      <c r="D46" s="765" t="s">
        <v>666</v>
      </c>
      <c r="E46" s="784">
        <f>B46/SUM(B$7)</f>
        <v>1.2500000000000001E-2</v>
      </c>
      <c r="F46" s="765" t="s">
        <v>666</v>
      </c>
      <c r="G46" s="739">
        <f>$E46*$G$7</f>
        <v>171.20250000000001</v>
      </c>
      <c r="H46" s="738">
        <f>$E46*$G$7</f>
        <v>171.20250000000001</v>
      </c>
      <c r="I46" s="740" t="str">
        <f>A46</f>
        <v>Other Liabs</v>
      </c>
      <c r="L46" s="751"/>
      <c r="M46" s="762" t="s">
        <v>665</v>
      </c>
      <c r="N46" s="759">
        <v>163.05000000000001</v>
      </c>
      <c r="O46" s="760">
        <v>163.05000000000001</v>
      </c>
      <c r="P46" s="759">
        <v>163.05000000000001</v>
      </c>
      <c r="Q46" s="759">
        <v>163.05000000000001</v>
      </c>
      <c r="R46" s="749"/>
      <c r="S46" s="759">
        <v>163.05000000000001</v>
      </c>
      <c r="T46" s="759">
        <v>171.20250000000001</v>
      </c>
      <c r="U46" s="747"/>
    </row>
    <row r="47" spans="1:21" ht="13.25">
      <c r="A47" s="775" t="s">
        <v>663</v>
      </c>
      <c r="B47" s="781">
        <v>4138.05</v>
      </c>
      <c r="C47" s="780" t="s">
        <v>653</v>
      </c>
      <c r="D47" s="778" t="s">
        <v>664</v>
      </c>
      <c r="E47" s="779" t="s">
        <v>653</v>
      </c>
      <c r="F47" s="778" t="s">
        <v>297</v>
      </c>
      <c r="G47" s="777">
        <f>SUM(G45:G46)</f>
        <v>3746.2024999999999</v>
      </c>
      <c r="H47" s="776">
        <f>SUM(H45:H46)</f>
        <v>3746.2024999999999</v>
      </c>
      <c r="I47" s="775" t="str">
        <f>A47</f>
        <v>Total L.T. Liab</v>
      </c>
      <c r="L47" s="751"/>
      <c r="M47" s="774" t="s">
        <v>663</v>
      </c>
      <c r="N47" s="772">
        <f>SUM(N45:N46)</f>
        <v>4138.05</v>
      </c>
      <c r="O47" s="783">
        <f>SUM(O45:O46)</f>
        <v>4138.05</v>
      </c>
      <c r="P47" s="773">
        <f>SUM(P45:P46)</f>
        <v>4138.05</v>
      </c>
      <c r="Q47" s="772">
        <f>SUM(Q45:Q46)</f>
        <v>4138.05</v>
      </c>
      <c r="R47" s="749"/>
      <c r="S47" s="772">
        <f>SUM(S45:S46)</f>
        <v>4138.05</v>
      </c>
      <c r="T47" s="772">
        <f>SUM(T45:T46)</f>
        <v>3746.2024999999999</v>
      </c>
      <c r="U47" s="747"/>
    </row>
    <row r="48" spans="1:21" ht="13.25">
      <c r="A48" s="740"/>
      <c r="B48" s="767"/>
      <c r="C48" s="766"/>
      <c r="D48" s="765"/>
      <c r="E48" s="764"/>
      <c r="F48" s="765"/>
      <c r="G48" s="739"/>
      <c r="H48" s="738"/>
      <c r="I48" s="740"/>
      <c r="L48" s="751"/>
      <c r="M48" s="762"/>
      <c r="N48" s="759"/>
      <c r="O48" s="760"/>
      <c r="P48" s="782"/>
      <c r="Q48" s="759"/>
      <c r="R48" s="749"/>
      <c r="S48" s="759"/>
      <c r="T48" s="759"/>
      <c r="U48" s="747"/>
    </row>
    <row r="49" spans="1:21" ht="13.25">
      <c r="A49" s="775" t="s">
        <v>661</v>
      </c>
      <c r="B49" s="781">
        <v>4138.05</v>
      </c>
      <c r="C49" s="780" t="s">
        <v>653</v>
      </c>
      <c r="D49" s="778" t="s">
        <v>662</v>
      </c>
      <c r="E49" s="779" t="s">
        <v>653</v>
      </c>
      <c r="F49" s="778"/>
      <c r="G49" s="777">
        <f>G43+G47</f>
        <v>3746.2024999999999</v>
      </c>
      <c r="H49" s="776">
        <f>H43+H47</f>
        <v>3746.2024999999999</v>
      </c>
      <c r="I49" s="775" t="str">
        <f>A49</f>
        <v>Total Debt</v>
      </c>
      <c r="L49" s="751"/>
      <c r="M49" s="774" t="s">
        <v>661</v>
      </c>
      <c r="N49" s="772">
        <v>4138.05</v>
      </c>
      <c r="O49" s="773">
        <v>4138.05</v>
      </c>
      <c r="P49" s="772">
        <v>4138.05</v>
      </c>
      <c r="Q49" s="772">
        <f>Q43+Q47</f>
        <v>4138.05</v>
      </c>
      <c r="R49" s="749"/>
      <c r="S49" s="772">
        <f>S43+S47</f>
        <v>4138.05</v>
      </c>
      <c r="T49" s="772">
        <f>T43+T47</f>
        <v>3746.2024999999999</v>
      </c>
      <c r="U49" s="747"/>
    </row>
    <row r="50" spans="1:21" ht="13.25">
      <c r="A50" s="771" t="s">
        <v>658</v>
      </c>
      <c r="B50" s="767">
        <v>280.5</v>
      </c>
      <c r="C50" s="766"/>
      <c r="D50" s="763" t="s">
        <v>660</v>
      </c>
      <c r="E50" s="764"/>
      <c r="F50" s="763" t="s">
        <v>659</v>
      </c>
      <c r="G50" s="739"/>
      <c r="H50" s="738"/>
      <c r="I50" s="740" t="str">
        <f>A50</f>
        <v>Shares Outstanding</v>
      </c>
      <c r="L50" s="751"/>
      <c r="M50" s="762" t="s">
        <v>658</v>
      </c>
      <c r="N50" s="769">
        <v>300</v>
      </c>
      <c r="O50" s="770">
        <f>N50-(26/4)</f>
        <v>293.5</v>
      </c>
      <c r="P50" s="769">
        <f>O50-(26/4)</f>
        <v>287</v>
      </c>
      <c r="Q50" s="769">
        <f>P50-(26/4)</f>
        <v>280.5</v>
      </c>
      <c r="R50" s="749"/>
      <c r="S50" s="769">
        <v>280.5</v>
      </c>
      <c r="T50" s="769">
        <v>255.5</v>
      </c>
      <c r="U50" s="747"/>
    </row>
    <row r="51" spans="1:21" ht="13.25">
      <c r="A51" s="740" t="s">
        <v>655</v>
      </c>
      <c r="B51" s="767">
        <v>15970.599594936701</v>
      </c>
      <c r="C51" s="766" t="s">
        <v>653</v>
      </c>
      <c r="D51" s="763" t="s">
        <v>657</v>
      </c>
      <c r="E51" s="764" t="s">
        <v>653</v>
      </c>
      <c r="F51" s="763" t="s">
        <v>656</v>
      </c>
      <c r="G51" s="739">
        <f>$B$51+G21-1500</f>
        <v>16115.257034936702</v>
      </c>
      <c r="H51" s="738">
        <f>G51</f>
        <v>16115.257034936702</v>
      </c>
      <c r="I51" s="740" t="str">
        <f>A51</f>
        <v>Equity</v>
      </c>
      <c r="L51" s="751"/>
      <c r="M51" s="762" t="s">
        <v>655</v>
      </c>
      <c r="N51" s="759">
        <v>14952.567594936709</v>
      </c>
      <c r="O51" s="768">
        <v>15291.911594936708</v>
      </c>
      <c r="P51" s="759">
        <v>15631.255594936709</v>
      </c>
      <c r="Q51" s="759">
        <v>15970.59959493671</v>
      </c>
      <c r="R51" s="749"/>
      <c r="S51" s="759">
        <v>15970.599594936701</v>
      </c>
      <c r="T51" s="759">
        <v>16115.257034936702</v>
      </c>
      <c r="U51" s="747"/>
    </row>
    <row r="52" spans="1:21" ht="13.25">
      <c r="A52" s="740"/>
      <c r="B52" s="767"/>
      <c r="C52" s="766"/>
      <c r="D52" s="765"/>
      <c r="E52" s="764"/>
      <c r="F52" s="763"/>
      <c r="G52" s="739"/>
      <c r="H52" s="738"/>
      <c r="I52" s="740"/>
      <c r="L52" s="751"/>
      <c r="M52" s="762"/>
      <c r="N52" s="759"/>
      <c r="O52" s="761"/>
      <c r="P52" s="760"/>
      <c r="Q52" s="759"/>
      <c r="R52" s="749"/>
      <c r="S52" s="759"/>
      <c r="T52" s="759"/>
      <c r="U52" s="747"/>
    </row>
    <row r="53" spans="1:21" ht="14" thickBot="1">
      <c r="A53" s="752" t="s">
        <v>652</v>
      </c>
      <c r="B53" s="758">
        <v>20108.649594936702</v>
      </c>
      <c r="C53" s="757" t="s">
        <v>653</v>
      </c>
      <c r="D53" s="755" t="s">
        <v>654</v>
      </c>
      <c r="E53" s="756" t="s">
        <v>653</v>
      </c>
      <c r="F53" s="755"/>
      <c r="G53" s="754">
        <f>G49+G51</f>
        <v>19861.459534936701</v>
      </c>
      <c r="H53" s="753">
        <f>H49+H51</f>
        <v>19861.459534936701</v>
      </c>
      <c r="I53" s="752" t="str">
        <f>A53</f>
        <v>Total Liab/Cap.</v>
      </c>
      <c r="L53" s="751"/>
      <c r="M53" s="750" t="s">
        <v>652</v>
      </c>
      <c r="N53" s="748">
        <f>N49+N51</f>
        <v>19090.61759493671</v>
      </c>
      <c r="O53" s="748">
        <f>O49+O51</f>
        <v>19429.961594936707</v>
      </c>
      <c r="P53" s="748">
        <f>P49+P51</f>
        <v>19769.305594936708</v>
      </c>
      <c r="Q53" s="748">
        <f>Q49+Q51</f>
        <v>20108.649594936709</v>
      </c>
      <c r="R53" s="749"/>
      <c r="S53" s="748">
        <f>S49+S51</f>
        <v>20108.649594936702</v>
      </c>
      <c r="T53" s="748">
        <f>T49+T51</f>
        <v>19861.459534936701</v>
      </c>
      <c r="U53" s="747"/>
    </row>
    <row r="54" spans="1:21" ht="14.75" thickTop="1" thickBot="1">
      <c r="E54" s="746" t="s">
        <v>297</v>
      </c>
      <c r="F54" s="740"/>
      <c r="G54" s="739"/>
      <c r="H54" s="738"/>
      <c r="L54" s="745"/>
      <c r="M54" s="743"/>
      <c r="N54" s="744"/>
      <c r="O54" s="743"/>
      <c r="P54" s="743"/>
      <c r="Q54" s="743"/>
      <c r="R54" s="743"/>
      <c r="S54" s="743"/>
      <c r="T54" s="743"/>
      <c r="U54" s="742"/>
    </row>
    <row r="55" spans="1:21" ht="13.75" thickTop="1">
      <c r="A55" s="741"/>
      <c r="F55" s="740" t="s">
        <v>17</v>
      </c>
      <c r="G55" s="739">
        <f>G41</f>
        <v>19861.285464587338</v>
      </c>
      <c r="H55" s="738">
        <f ca="1">H41-H28</f>
        <v>19861.459534936701</v>
      </c>
    </row>
    <row r="56" spans="1:21">
      <c r="F56" s="740" t="s">
        <v>651</v>
      </c>
      <c r="G56" s="739">
        <f>G53</f>
        <v>19861.459534936701</v>
      </c>
      <c r="H56" s="738">
        <f>H53-H43</f>
        <v>19861.459534936701</v>
      </c>
      <c r="O56" s="706"/>
      <c r="P56" s="706"/>
      <c r="Q56" s="706"/>
    </row>
    <row r="57" spans="1:21" ht="13.75" thickBot="1">
      <c r="F57" s="737" t="s">
        <v>650</v>
      </c>
      <c r="G57" s="736">
        <f>G55-G56</f>
        <v>-0.17407034936331911</v>
      </c>
      <c r="H57" s="735">
        <f ca="1">H55-H56</f>
        <v>0</v>
      </c>
      <c r="N57" s="705"/>
    </row>
    <row r="58" spans="1:21" ht="13.75" thickTop="1">
      <c r="O58" s="706"/>
      <c r="P58" s="706"/>
      <c r="Q58" s="706"/>
    </row>
    <row r="59" spans="1:21">
      <c r="N59" s="705"/>
    </row>
    <row r="60" spans="1:21">
      <c r="N60" s="705"/>
    </row>
    <row r="64" spans="1:21" ht="13.75" thickBot="1">
      <c r="M64" s="734" t="s">
        <v>649</v>
      </c>
      <c r="N64" s="733"/>
      <c r="O64" s="733"/>
      <c r="P64" s="733"/>
      <c r="Q64" s="733"/>
    </row>
    <row r="65" spans="13:28" s="705" customFormat="1" ht="26.75" thickTop="1">
      <c r="M65" s="732"/>
      <c r="N65" s="731" t="s">
        <v>648</v>
      </c>
      <c r="O65" s="731" t="s">
        <v>647</v>
      </c>
      <c r="P65" s="731" t="s">
        <v>646</v>
      </c>
      <c r="Q65" s="731" t="s">
        <v>645</v>
      </c>
    </row>
    <row r="66" spans="13:28" s="705" customFormat="1" ht="13.75" thickBot="1">
      <c r="M66" s="723" t="s">
        <v>632</v>
      </c>
      <c r="N66" s="728">
        <v>1.38</v>
      </c>
      <c r="O66" s="728">
        <v>1.46</v>
      </c>
      <c r="P66" s="728">
        <v>5.68</v>
      </c>
      <c r="Q66" s="728">
        <v>5.81</v>
      </c>
    </row>
    <row r="67" spans="13:28" s="705" customFormat="1" ht="13.75" thickBot="1">
      <c r="M67" s="723" t="s">
        <v>644</v>
      </c>
      <c r="N67" s="728">
        <v>19</v>
      </c>
      <c r="O67" s="728">
        <v>19</v>
      </c>
      <c r="P67" s="728">
        <v>20</v>
      </c>
      <c r="Q67" s="728">
        <v>20</v>
      </c>
    </row>
    <row r="68" spans="13:28" s="705" customFormat="1" ht="13.75" thickBot="1">
      <c r="M68" s="723" t="s">
        <v>631</v>
      </c>
      <c r="N68" s="728">
        <v>1.62</v>
      </c>
      <c r="O68" s="728">
        <v>1.63</v>
      </c>
      <c r="P68" s="728">
        <v>6.09</v>
      </c>
      <c r="Q68" s="728">
        <v>6.85</v>
      </c>
      <c r="V68" s="730"/>
      <c r="W68" s="1292" t="s">
        <v>643</v>
      </c>
      <c r="X68" s="1292"/>
      <c r="Y68" s="1292"/>
      <c r="Z68" s="1292"/>
      <c r="AA68" s="1292"/>
      <c r="AB68" s="1293"/>
    </row>
    <row r="69" spans="13:28" s="705" customFormat="1" ht="13.75" thickBot="1">
      <c r="M69" s="723" t="s">
        <v>630</v>
      </c>
      <c r="N69" s="728">
        <v>1.1499999999999999</v>
      </c>
      <c r="O69" s="728">
        <v>1.36</v>
      </c>
      <c r="P69" s="728">
        <v>5.2</v>
      </c>
      <c r="Q69" s="728">
        <v>5</v>
      </c>
      <c r="V69" s="729"/>
      <c r="W69" s="1291" t="s">
        <v>642</v>
      </c>
      <c r="X69" s="1291"/>
      <c r="Y69" s="1291"/>
      <c r="Z69" s="1291"/>
      <c r="AA69" s="1294" t="s">
        <v>641</v>
      </c>
      <c r="AB69" s="1295"/>
    </row>
    <row r="70" spans="13:28" s="705" customFormat="1" ht="13.75" thickBot="1">
      <c r="M70" s="723" t="s">
        <v>640</v>
      </c>
      <c r="N70" s="728">
        <v>1.1399999999999999</v>
      </c>
      <c r="O70" s="728">
        <v>1.41</v>
      </c>
      <c r="P70" s="728">
        <v>5.9</v>
      </c>
      <c r="Q70" s="728">
        <v>5.68</v>
      </c>
      <c r="V70" s="727" t="s">
        <v>639</v>
      </c>
      <c r="W70" s="726">
        <v>2007</v>
      </c>
      <c r="X70" s="726">
        <v>2008</v>
      </c>
      <c r="Y70" s="726">
        <v>2009</v>
      </c>
      <c r="Z70" s="726">
        <v>2010</v>
      </c>
      <c r="AA70" s="725" t="s">
        <v>638</v>
      </c>
      <c r="AB70" s="724" t="s">
        <v>637</v>
      </c>
    </row>
    <row r="71" spans="13:28" s="705" customFormat="1" ht="13.75" thickBot="1">
      <c r="M71" s="723" t="s">
        <v>636</v>
      </c>
      <c r="N71" s="721">
        <v>0.21049999999999999</v>
      </c>
      <c r="O71" s="721">
        <v>3.7699999999999997E-2</v>
      </c>
      <c r="P71" s="722">
        <v>-3.7699999999999997E-2</v>
      </c>
      <c r="Q71" s="721">
        <v>2.2499999999999999E-2</v>
      </c>
      <c r="V71" s="720" t="s">
        <v>635</v>
      </c>
      <c r="W71" s="719">
        <v>2564</v>
      </c>
      <c r="X71" s="719">
        <v>2045</v>
      </c>
      <c r="Y71" s="719">
        <v>2168</v>
      </c>
      <c r="Z71" s="719">
        <v>1900</v>
      </c>
      <c r="AA71" s="718">
        <v>1900</v>
      </c>
      <c r="AB71" s="717">
        <f>1.05*AA71</f>
        <v>1995</v>
      </c>
    </row>
    <row r="72" spans="13:28" s="705" customFormat="1">
      <c r="N72" s="706"/>
      <c r="V72" s="716" t="s">
        <v>634</v>
      </c>
      <c r="W72" s="715">
        <v>6.41</v>
      </c>
      <c r="X72" s="715">
        <v>5.58</v>
      </c>
      <c r="Y72" s="715">
        <v>6.14</v>
      </c>
      <c r="Z72" s="715">
        <v>5.9</v>
      </c>
      <c r="AA72" s="714">
        <v>5.9</v>
      </c>
      <c r="AB72" s="713">
        <f>1.05*AA72</f>
        <v>6.1950000000000003</v>
      </c>
    </row>
    <row r="73" spans="13:28" s="705" customFormat="1">
      <c r="N73" s="706"/>
      <c r="V73" s="1296" t="s">
        <v>633</v>
      </c>
      <c r="W73" s="1298" t="s">
        <v>632</v>
      </c>
      <c r="X73" s="1298"/>
      <c r="Y73" s="1298"/>
      <c r="Z73" s="1298"/>
      <c r="AA73" s="712">
        <v>5.68</v>
      </c>
      <c r="AB73" s="711">
        <v>5.81</v>
      </c>
    </row>
    <row r="74" spans="13:28" s="705" customFormat="1">
      <c r="N74" s="706"/>
      <c r="V74" s="1296"/>
      <c r="W74" s="1298" t="s">
        <v>631</v>
      </c>
      <c r="X74" s="1298"/>
      <c r="Y74" s="1298"/>
      <c r="Z74" s="1298"/>
      <c r="AA74" s="710">
        <v>6.09</v>
      </c>
      <c r="AB74" s="709">
        <v>6.85</v>
      </c>
    </row>
    <row r="75" spans="13:28" s="705" customFormat="1" ht="13.75" thickBot="1">
      <c r="N75" s="706"/>
      <c r="V75" s="1297"/>
      <c r="W75" s="1299" t="s">
        <v>630</v>
      </c>
      <c r="X75" s="1299"/>
      <c r="Y75" s="1299"/>
      <c r="Z75" s="1299"/>
      <c r="AA75" s="708">
        <v>5.2</v>
      </c>
      <c r="AB75" s="707">
        <v>5</v>
      </c>
    </row>
  </sheetData>
  <customSheetViews>
    <customSheetView guid="{5A4827F7-D52D-44AD-B257-2AB13F875B96}" scale="75" fitToPage="1" topLeftCell="L1">
      <selection activeCell="R19" sqref="R19"/>
      <pageMargins left="0.75" right="0.75" top="0.25" bottom="0.25" header="0.5" footer="0.5"/>
      <printOptions horizontalCentered="1" verticalCentered="1"/>
      <pageSetup scale="83" orientation="landscape" r:id="rId1"/>
      <headerFooter alignWithMargins="0"/>
    </customSheetView>
  </customSheetViews>
  <mergeCells count="19">
    <mergeCell ref="W7:AD7"/>
    <mergeCell ref="W8:Z8"/>
    <mergeCell ref="W16:X16"/>
    <mergeCell ref="W15:AB15"/>
    <mergeCell ref="A2:H2"/>
    <mergeCell ref="S5:T5"/>
    <mergeCell ref="L2:U3"/>
    <mergeCell ref="AA8:AD8"/>
    <mergeCell ref="Y16:Z16"/>
    <mergeCell ref="AA16:AB16"/>
    <mergeCell ref="V11:W13"/>
    <mergeCell ref="V19:V21"/>
    <mergeCell ref="W69:Z69"/>
    <mergeCell ref="W68:AB68"/>
    <mergeCell ref="AA69:AB69"/>
    <mergeCell ref="V73:V75"/>
    <mergeCell ref="W73:Z73"/>
    <mergeCell ref="W74:Z74"/>
    <mergeCell ref="W75:Z75"/>
  </mergeCells>
  <printOptions horizontalCentered="1" verticalCentered="1"/>
  <pageMargins left="0.75" right="0.75" top="0.25" bottom="0.25" header="0.5" footer="0.5"/>
  <pageSetup scale="83" orientation="landscape" r:id="rId2"/>
  <headerFooter alignWithMargins="0"/>
  <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U38"/>
  <sheetViews>
    <sheetView topLeftCell="A13" zoomScale="55" zoomScaleNormal="55" workbookViewId="0">
      <selection activeCell="L1" sqref="L1"/>
    </sheetView>
  </sheetViews>
  <sheetFormatPr defaultColWidth="9.1796875" defaultRowHeight="13"/>
  <cols>
    <col min="1" max="16384" width="9.1796875" style="733"/>
  </cols>
  <sheetData>
    <row r="1" spans="1:17" ht="17.75">
      <c r="A1" s="887" t="s">
        <v>771</v>
      </c>
    </row>
    <row r="3" spans="1:17" ht="17.75">
      <c r="A3" s="886"/>
    </row>
    <row r="5" spans="1:17" ht="18.75" customHeight="1">
      <c r="A5" s="1315" t="s">
        <v>770</v>
      </c>
      <c r="B5" s="1315"/>
      <c r="C5" s="1315"/>
      <c r="D5" s="1315"/>
      <c r="E5" s="1315"/>
      <c r="F5" s="1315"/>
      <c r="G5" s="1315"/>
      <c r="H5" s="1315"/>
      <c r="I5" s="1315"/>
      <c r="J5" s="1315"/>
      <c r="K5" s="1315"/>
      <c r="L5" s="1315"/>
      <c r="M5" s="1315"/>
      <c r="N5" s="1315"/>
      <c r="O5" s="1315"/>
      <c r="P5" s="1315"/>
      <c r="Q5" s="1315"/>
    </row>
    <row r="6" spans="1:17">
      <c r="A6" s="1315"/>
      <c r="B6" s="1315"/>
      <c r="C6" s="1315"/>
      <c r="D6" s="1315"/>
      <c r="E6" s="1315"/>
      <c r="F6" s="1315"/>
      <c r="G6" s="1315"/>
      <c r="H6" s="1315"/>
      <c r="I6" s="1315"/>
      <c r="J6" s="1315"/>
      <c r="K6" s="1315"/>
      <c r="L6" s="1315"/>
      <c r="M6" s="1315"/>
      <c r="N6" s="1315"/>
      <c r="O6" s="1315"/>
      <c r="P6" s="1315"/>
      <c r="Q6" s="1315"/>
    </row>
    <row r="7" spans="1:17" ht="18.75" customHeight="1">
      <c r="A7" s="1315"/>
      <c r="B7" s="1315"/>
      <c r="C7" s="1315"/>
      <c r="D7" s="1315"/>
      <c r="E7" s="1315"/>
      <c r="F7" s="1315"/>
      <c r="G7" s="1315"/>
      <c r="H7" s="1315"/>
      <c r="I7" s="1315"/>
      <c r="J7" s="1315"/>
      <c r="K7" s="1315"/>
      <c r="L7" s="1315"/>
      <c r="M7" s="1315"/>
      <c r="N7" s="1315"/>
      <c r="O7" s="1315"/>
      <c r="P7" s="1315"/>
      <c r="Q7" s="1315"/>
    </row>
    <row r="9" spans="1:17" ht="18.25">
      <c r="A9" s="883" t="s">
        <v>769</v>
      </c>
    </row>
    <row r="11" spans="1:17" ht="18.25">
      <c r="A11" s="883"/>
    </row>
    <row r="13" spans="1:17" ht="18.25">
      <c r="A13" s="884" t="s">
        <v>768</v>
      </c>
    </row>
    <row r="15" spans="1:17" ht="18.25">
      <c r="A15" s="883"/>
    </row>
    <row r="17" spans="1:21" ht="18.75" customHeight="1">
      <c r="B17" s="1314" t="s">
        <v>767</v>
      </c>
      <c r="C17" s="1314"/>
      <c r="D17" s="1314"/>
      <c r="E17" s="1314"/>
      <c r="F17" s="1314"/>
      <c r="G17" s="1314"/>
      <c r="H17" s="1314"/>
      <c r="I17" s="1314"/>
      <c r="J17" s="1314"/>
      <c r="K17" s="1314"/>
      <c r="L17" s="1314"/>
      <c r="M17" s="1314"/>
      <c r="N17" s="1314"/>
      <c r="O17" s="1314"/>
      <c r="P17" s="1314"/>
      <c r="Q17" s="1314"/>
      <c r="R17" s="1314"/>
      <c r="S17" s="885"/>
      <c r="T17" s="885"/>
      <c r="U17" s="885"/>
    </row>
    <row r="18" spans="1:21" ht="18" customHeight="1">
      <c r="B18" s="1314"/>
      <c r="C18" s="1314"/>
      <c r="D18" s="1314"/>
      <c r="E18" s="1314"/>
      <c r="F18" s="1314"/>
      <c r="G18" s="1314"/>
      <c r="H18" s="1314"/>
      <c r="I18" s="1314"/>
      <c r="J18" s="1314"/>
      <c r="K18" s="1314"/>
      <c r="L18" s="1314"/>
      <c r="M18" s="1314"/>
      <c r="N18" s="1314"/>
      <c r="O18" s="1314"/>
      <c r="P18" s="1314"/>
      <c r="Q18" s="1314"/>
      <c r="R18" s="1314"/>
      <c r="S18" s="885"/>
      <c r="T18" s="885"/>
      <c r="U18" s="885"/>
    </row>
    <row r="19" spans="1:21" ht="18" customHeight="1">
      <c r="B19" s="1314"/>
      <c r="C19" s="1314"/>
      <c r="D19" s="1314"/>
      <c r="E19" s="1314"/>
      <c r="F19" s="1314"/>
      <c r="G19" s="1314"/>
      <c r="H19" s="1314"/>
      <c r="I19" s="1314"/>
      <c r="J19" s="1314"/>
      <c r="K19" s="1314"/>
      <c r="L19" s="1314"/>
      <c r="M19" s="1314"/>
      <c r="N19" s="1314"/>
      <c r="O19" s="1314"/>
      <c r="P19" s="1314"/>
      <c r="Q19" s="1314"/>
      <c r="R19" s="1314"/>
      <c r="S19" s="885"/>
      <c r="T19" s="885"/>
      <c r="U19" s="885"/>
    </row>
    <row r="20" spans="1:21" ht="18" customHeight="1">
      <c r="B20" s="1314"/>
      <c r="C20" s="1314"/>
      <c r="D20" s="1314"/>
      <c r="E20" s="1314"/>
      <c r="F20" s="1314"/>
      <c r="G20" s="1314"/>
      <c r="H20" s="1314"/>
      <c r="I20" s="1314"/>
      <c r="J20" s="1314"/>
      <c r="K20" s="1314"/>
      <c r="L20" s="1314"/>
      <c r="M20" s="1314"/>
      <c r="N20" s="1314"/>
      <c r="O20" s="1314"/>
      <c r="P20" s="1314"/>
      <c r="Q20" s="1314"/>
      <c r="R20" s="1314"/>
      <c r="S20" s="885"/>
      <c r="T20" s="885"/>
      <c r="U20" s="885"/>
    </row>
    <row r="21" spans="1:21" ht="18" customHeight="1">
      <c r="B21" s="1314"/>
      <c r="C21" s="1314"/>
      <c r="D21" s="1314"/>
      <c r="E21" s="1314"/>
      <c r="F21" s="1314"/>
      <c r="G21" s="1314"/>
      <c r="H21" s="1314"/>
      <c r="I21" s="1314"/>
      <c r="J21" s="1314"/>
      <c r="K21" s="1314"/>
      <c r="L21" s="1314"/>
      <c r="M21" s="1314"/>
      <c r="N21" s="1314"/>
      <c r="O21" s="1314"/>
      <c r="P21" s="1314"/>
      <c r="Q21" s="1314"/>
      <c r="R21" s="1314"/>
      <c r="S21" s="885"/>
      <c r="T21" s="885"/>
      <c r="U21" s="885"/>
    </row>
    <row r="22" spans="1:21" ht="18" customHeight="1">
      <c r="B22" s="1314"/>
      <c r="C22" s="1314"/>
      <c r="D22" s="1314"/>
      <c r="E22" s="1314"/>
      <c r="F22" s="1314"/>
      <c r="G22" s="1314"/>
      <c r="H22" s="1314"/>
      <c r="I22" s="1314"/>
      <c r="J22" s="1314"/>
      <c r="K22" s="1314"/>
      <c r="L22" s="1314"/>
      <c r="M22" s="1314"/>
      <c r="N22" s="1314"/>
      <c r="O22" s="1314"/>
      <c r="P22" s="1314"/>
      <c r="Q22" s="1314"/>
      <c r="R22" s="1314"/>
      <c r="S22" s="885"/>
      <c r="T22" s="885"/>
      <c r="U22" s="885"/>
    </row>
    <row r="23" spans="1:21" ht="12.75" customHeight="1">
      <c r="A23" s="885"/>
      <c r="B23" s="885"/>
      <c r="C23" s="885"/>
      <c r="D23" s="885"/>
      <c r="E23" s="885"/>
      <c r="F23" s="885"/>
      <c r="G23" s="885"/>
      <c r="H23" s="885"/>
      <c r="I23" s="885"/>
      <c r="J23" s="885"/>
      <c r="K23" s="885"/>
      <c r="L23" s="885"/>
      <c r="M23" s="885"/>
      <c r="N23" s="885"/>
      <c r="O23" s="885"/>
      <c r="P23" s="885"/>
      <c r="Q23" s="885"/>
      <c r="R23" s="885"/>
      <c r="S23" s="885"/>
      <c r="T23" s="885"/>
      <c r="U23" s="885"/>
    </row>
    <row r="24" spans="1:21" ht="18.25">
      <c r="A24" s="883"/>
    </row>
    <row r="26" spans="1:21" ht="18.25">
      <c r="A26" s="884" t="s">
        <v>766</v>
      </c>
    </row>
    <row r="28" spans="1:21" ht="18.25">
      <c r="A28" s="883"/>
    </row>
    <row r="30" spans="1:21" ht="18.25">
      <c r="A30" s="884" t="s">
        <v>765</v>
      </c>
    </row>
    <row r="32" spans="1:21" ht="18.25">
      <c r="A32" s="883"/>
    </row>
    <row r="34" spans="1:1" ht="18.25">
      <c r="A34" s="884" t="s">
        <v>764</v>
      </c>
    </row>
    <row r="36" spans="1:1" ht="18.25">
      <c r="A36" s="883"/>
    </row>
    <row r="38" spans="1:1" ht="18.25">
      <c r="A38" s="883" t="s">
        <v>763</v>
      </c>
    </row>
  </sheetData>
  <customSheetViews>
    <customSheetView guid="{5A4827F7-D52D-44AD-B257-2AB13F875B96}" scale="55">
      <selection activeCell="L1" sqref="L1"/>
      <pageMargins left="0.7" right="0.7" top="0.75" bottom="0.75" header="0.3" footer="0.3"/>
      <pageSetup orientation="portrait" r:id="rId1"/>
    </customSheetView>
  </customSheetViews>
  <mergeCells count="2">
    <mergeCell ref="B17:R22"/>
    <mergeCell ref="A5:Q7"/>
  </mergeCells>
  <pageMargins left="0.7" right="0.7" top="0.75" bottom="0.75" header="0.3" footer="0.3"/>
  <pageSetup orientation="portrait"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4:M8"/>
  <sheetViews>
    <sheetView workbookViewId="0">
      <selection activeCell="M7" sqref="M7"/>
    </sheetView>
  </sheetViews>
  <sheetFormatPr defaultColWidth="9.1796875" defaultRowHeight="13"/>
  <cols>
    <col min="1" max="16384" width="9.1796875" style="733"/>
  </cols>
  <sheetData>
    <row r="4" spans="1:13" ht="13.75" thickBot="1"/>
    <row r="5" spans="1:13" ht="16.5" thickBot="1">
      <c r="A5" s="901"/>
      <c r="B5" s="900">
        <v>2001</v>
      </c>
      <c r="C5" s="900">
        <v>2002</v>
      </c>
      <c r="D5" s="900">
        <v>2003</v>
      </c>
      <c r="E5" s="900">
        <v>2004</v>
      </c>
      <c r="F5" s="900">
        <v>2005</v>
      </c>
      <c r="G5" s="900">
        <v>2006</v>
      </c>
      <c r="H5" s="900">
        <v>2007</v>
      </c>
      <c r="I5" s="900">
        <v>2008</v>
      </c>
      <c r="J5" s="900">
        <v>2009</v>
      </c>
      <c r="K5" s="900">
        <v>2010</v>
      </c>
      <c r="L5" s="900">
        <v>2011</v>
      </c>
      <c r="M5" s="899">
        <v>2012</v>
      </c>
    </row>
    <row r="6" spans="1:13" ht="16.5" thickBot="1">
      <c r="A6" s="898" t="s">
        <v>711</v>
      </c>
      <c r="B6" s="897">
        <v>111.50000000000061</v>
      </c>
      <c r="C6" s="897">
        <v>222.89999999999981</v>
      </c>
      <c r="D6" s="896">
        <v>808.79999999999916</v>
      </c>
      <c r="E6" s="896">
        <v>1548.3999999999994</v>
      </c>
      <c r="F6" s="896">
        <v>1825.9000000000015</v>
      </c>
      <c r="G6" s="896">
        <v>2528</v>
      </c>
      <c r="H6" s="896">
        <v>2807</v>
      </c>
      <c r="I6" s="896">
        <v>1804</v>
      </c>
      <c r="J6" s="896">
        <v>2183</v>
      </c>
      <c r="K6" s="896">
        <v>2136</v>
      </c>
      <c r="L6" s="896">
        <v>1793.52</v>
      </c>
      <c r="M6" s="895">
        <v>2044.6574400000004</v>
      </c>
    </row>
    <row r="7" spans="1:13" ht="16.5" thickTop="1">
      <c r="A7" s="894" t="s">
        <v>773</v>
      </c>
      <c r="B7" s="893">
        <v>0.63424345847554386</v>
      </c>
      <c r="C7" s="893">
        <v>1.2891844997108144</v>
      </c>
      <c r="D7" s="893">
        <v>4.4611141753998851</v>
      </c>
      <c r="E7" s="893">
        <v>8.0144927536231858</v>
      </c>
      <c r="F7" s="893">
        <v>8.9417238001958932</v>
      </c>
      <c r="G7" s="892">
        <v>5.9848484848484853</v>
      </c>
      <c r="H7" s="892">
        <v>7.0122408193854611</v>
      </c>
      <c r="I7" s="892">
        <v>4.9182115594329332</v>
      </c>
      <c r="J7" s="892">
        <v>6.1841359773371103</v>
      </c>
      <c r="K7" s="892">
        <v>6.76</v>
      </c>
      <c r="L7" s="892">
        <v>5.9783999999999997</v>
      </c>
      <c r="M7" s="891">
        <v>6.8155248000000013</v>
      </c>
    </row>
    <row r="8" spans="1:13" ht="16.5" thickBot="1">
      <c r="A8" s="890" t="s">
        <v>772</v>
      </c>
      <c r="B8" s="889">
        <v>175.8</v>
      </c>
      <c r="C8" s="889">
        <v>172.9</v>
      </c>
      <c r="D8" s="889">
        <v>181.3</v>
      </c>
      <c r="E8" s="889">
        <v>193.2</v>
      </c>
      <c r="F8" s="889">
        <v>204.2</v>
      </c>
      <c r="G8" s="889">
        <v>422.4</v>
      </c>
      <c r="H8" s="889">
        <v>400.3</v>
      </c>
      <c r="I8" s="889">
        <v>366.8</v>
      </c>
      <c r="J8" s="889">
        <v>353</v>
      </c>
      <c r="K8" s="889">
        <v>305</v>
      </c>
      <c r="L8" s="889">
        <v>280.5</v>
      </c>
      <c r="M8" s="888">
        <v>255.5</v>
      </c>
    </row>
  </sheetData>
  <customSheetViews>
    <customSheetView guid="{5A4827F7-D52D-44AD-B257-2AB13F875B96}">
      <selection activeCell="M7" sqref="M7"/>
      <pageMargins left="0.7" right="0.7" top="0.75" bottom="0.75" header="0.3" footer="0.3"/>
    </customSheetView>
  </customSheetView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L76"/>
  <sheetViews>
    <sheetView workbookViewId="0">
      <selection activeCell="C34" activeCellId="1" sqref="A33 C34"/>
    </sheetView>
  </sheetViews>
  <sheetFormatPr defaultColWidth="10.31640625" defaultRowHeight="11.75"/>
  <cols>
    <col min="1" max="1" width="51" style="954" customWidth="1"/>
    <col min="2" max="2" width="21" style="954" customWidth="1"/>
    <col min="3" max="3" width="14.1796875" style="954" bestFit="1" customWidth="1"/>
    <col min="4" max="4" width="11.81640625" style="954" customWidth="1"/>
    <col min="5" max="7" width="9.1796875" style="954" customWidth="1"/>
    <col min="8" max="8" width="11.81640625" style="954" customWidth="1"/>
    <col min="9" max="9" width="9.1796875" style="954" customWidth="1"/>
    <col min="10" max="16384" width="10.31640625" style="954"/>
  </cols>
  <sheetData>
    <row r="1" spans="1:9" ht="12.5">
      <c r="A1" s="955" t="s">
        <v>513</v>
      </c>
    </row>
    <row r="2" spans="1:9" ht="12.5">
      <c r="A2" s="955" t="s">
        <v>819</v>
      </c>
    </row>
    <row r="3" spans="1:9" ht="12.5">
      <c r="A3" s="955" t="s">
        <v>818</v>
      </c>
    </row>
    <row r="4" spans="1:9" ht="12.25">
      <c r="A4" s="956" t="s">
        <v>430</v>
      </c>
    </row>
    <row r="5" spans="1:9" ht="12.5">
      <c r="A5" s="955" t="s">
        <v>223</v>
      </c>
    </row>
    <row r="6" spans="1:9" ht="12.25">
      <c r="A6" s="956" t="s">
        <v>430</v>
      </c>
    </row>
    <row r="7" spans="1:9" ht="12.25">
      <c r="A7" s="956" t="s">
        <v>430</v>
      </c>
    </row>
    <row r="8" spans="1:9" ht="12.25">
      <c r="A8" s="956" t="s">
        <v>430</v>
      </c>
    </row>
    <row r="9" spans="1:9" ht="12.25">
      <c r="A9" s="956" t="s">
        <v>430</v>
      </c>
      <c r="B9" s="956" t="s">
        <v>430</v>
      </c>
      <c r="C9" s="956" t="s">
        <v>430</v>
      </c>
      <c r="D9" s="956" t="s">
        <v>430</v>
      </c>
      <c r="E9" s="956" t="s">
        <v>430</v>
      </c>
      <c r="F9" s="956" t="s">
        <v>430</v>
      </c>
      <c r="G9" s="956" t="s">
        <v>430</v>
      </c>
      <c r="H9" s="956" t="s">
        <v>430</v>
      </c>
      <c r="I9" s="956" t="s">
        <v>430</v>
      </c>
    </row>
    <row r="10" spans="1:9" ht="12.25">
      <c r="A10" s="956" t="s">
        <v>430</v>
      </c>
      <c r="B10" s="956" t="s">
        <v>430</v>
      </c>
      <c r="C10" s="966" t="s">
        <v>817</v>
      </c>
      <c r="E10" s="956" t="s">
        <v>430</v>
      </c>
      <c r="F10" s="956" t="s">
        <v>430</v>
      </c>
      <c r="G10" s="966" t="s">
        <v>816</v>
      </c>
      <c r="I10" s="956" t="s">
        <v>430</v>
      </c>
    </row>
    <row r="11" spans="1:9" ht="12.25">
      <c r="A11" s="956" t="s">
        <v>430</v>
      </c>
      <c r="B11" s="956" t="s">
        <v>430</v>
      </c>
      <c r="C11" s="967">
        <v>2010</v>
      </c>
      <c r="E11" s="956" t="s">
        <v>430</v>
      </c>
      <c r="F11" s="956" t="s">
        <v>430</v>
      </c>
      <c r="G11" s="967">
        <v>2009</v>
      </c>
      <c r="I11" s="956" t="s">
        <v>430</v>
      </c>
    </row>
    <row r="12" spans="1:9" ht="12.25">
      <c r="A12" s="956" t="s">
        <v>430</v>
      </c>
      <c r="B12" s="956" t="s">
        <v>430</v>
      </c>
      <c r="C12" s="966" t="s">
        <v>815</v>
      </c>
      <c r="I12" s="956" t="s">
        <v>430</v>
      </c>
    </row>
    <row r="13" spans="1:9" ht="12.25">
      <c r="A13" s="959" t="s">
        <v>17</v>
      </c>
      <c r="B13" s="956" t="s">
        <v>430</v>
      </c>
      <c r="C13" s="956" t="s">
        <v>430</v>
      </c>
      <c r="D13" s="956" t="s">
        <v>430</v>
      </c>
      <c r="E13" s="956" t="s">
        <v>430</v>
      </c>
      <c r="F13" s="956" t="s">
        <v>430</v>
      </c>
      <c r="G13" s="956" t="s">
        <v>430</v>
      </c>
      <c r="H13" s="956" t="s">
        <v>430</v>
      </c>
      <c r="I13" s="956" t="s">
        <v>430</v>
      </c>
    </row>
    <row r="14" spans="1:9" ht="12.25">
      <c r="A14" s="956" t="s">
        <v>430</v>
      </c>
      <c r="B14" s="956" t="s">
        <v>430</v>
      </c>
      <c r="C14" s="956" t="s">
        <v>430</v>
      </c>
      <c r="D14" s="956" t="s">
        <v>430</v>
      </c>
      <c r="E14" s="956" t="s">
        <v>430</v>
      </c>
      <c r="F14" s="956" t="s">
        <v>430</v>
      </c>
      <c r="G14" s="956" t="s">
        <v>430</v>
      </c>
      <c r="H14" s="956" t="s">
        <v>430</v>
      </c>
      <c r="I14" s="956" t="s">
        <v>430</v>
      </c>
    </row>
    <row r="15" spans="1:9" ht="12.25">
      <c r="A15" s="959" t="s">
        <v>814</v>
      </c>
      <c r="B15" s="956" t="s">
        <v>430</v>
      </c>
      <c r="C15" s="956" t="s">
        <v>430</v>
      </c>
      <c r="D15" s="956" t="s">
        <v>430</v>
      </c>
      <c r="E15" s="956" t="s">
        <v>430</v>
      </c>
      <c r="F15" s="956" t="s">
        <v>430</v>
      </c>
      <c r="G15" s="956" t="s">
        <v>430</v>
      </c>
      <c r="H15" s="956" t="s">
        <v>430</v>
      </c>
      <c r="I15" s="956" t="s">
        <v>430</v>
      </c>
    </row>
    <row r="16" spans="1:9" ht="12.25">
      <c r="A16" s="959" t="s">
        <v>375</v>
      </c>
      <c r="B16" s="956" t="s">
        <v>430</v>
      </c>
      <c r="D16" s="957">
        <v>2046</v>
      </c>
      <c r="E16" s="956" t="s">
        <v>430</v>
      </c>
      <c r="F16" s="956" t="s">
        <v>430</v>
      </c>
      <c r="G16" s="957">
        <v>1918</v>
      </c>
      <c r="I16" s="956" t="s">
        <v>430</v>
      </c>
    </row>
    <row r="17" spans="1:9" ht="12.25">
      <c r="A17" s="959" t="s">
        <v>813</v>
      </c>
      <c r="B17" s="956" t="s">
        <v>430</v>
      </c>
      <c r="C17" s="956" t="s">
        <v>430</v>
      </c>
      <c r="D17" s="956" t="s">
        <v>430</v>
      </c>
      <c r="E17" s="956" t="s">
        <v>430</v>
      </c>
      <c r="F17" s="956" t="s">
        <v>430</v>
      </c>
      <c r="G17" s="956" t="s">
        <v>430</v>
      </c>
      <c r="H17" s="956" t="s">
        <v>430</v>
      </c>
      <c r="I17" s="956" t="s">
        <v>430</v>
      </c>
    </row>
    <row r="18" spans="1:9" ht="12.25">
      <c r="A18" s="959" t="s">
        <v>468</v>
      </c>
      <c r="B18" s="956" t="s">
        <v>430</v>
      </c>
      <c r="C18" s="956" t="s">
        <v>430</v>
      </c>
      <c r="D18" s="958">
        <v>20248</v>
      </c>
      <c r="E18" s="956" t="s">
        <v>430</v>
      </c>
      <c r="F18" s="956" t="s">
        <v>430</v>
      </c>
      <c r="G18" s="956" t="s">
        <v>430</v>
      </c>
      <c r="H18" s="958">
        <v>19587</v>
      </c>
      <c r="I18" s="956" t="s">
        <v>430</v>
      </c>
    </row>
    <row r="19" spans="1:9" ht="12.25">
      <c r="A19" s="959" t="s">
        <v>467</v>
      </c>
      <c r="B19" s="956" t="s">
        <v>430</v>
      </c>
      <c r="C19" s="956" t="s">
        <v>430</v>
      </c>
      <c r="D19" s="958">
        <v>17136</v>
      </c>
      <c r="E19" s="956" t="s">
        <v>430</v>
      </c>
      <c r="F19" s="956" t="s">
        <v>430</v>
      </c>
      <c r="G19" s="956" t="s">
        <v>430</v>
      </c>
      <c r="H19" s="958">
        <v>16991</v>
      </c>
      <c r="I19" s="956" t="s">
        <v>430</v>
      </c>
    </row>
    <row r="20" spans="1:9" ht="12.25">
      <c r="A20" s="959" t="s">
        <v>812</v>
      </c>
      <c r="B20" s="956" t="s">
        <v>430</v>
      </c>
      <c r="C20" s="956" t="s">
        <v>430</v>
      </c>
      <c r="D20" s="958">
        <v>1404</v>
      </c>
      <c r="E20" s="956" t="s">
        <v>430</v>
      </c>
      <c r="F20" s="956" t="s">
        <v>430</v>
      </c>
      <c r="G20" s="956" t="s">
        <v>430</v>
      </c>
      <c r="H20" s="958">
        <v>1433</v>
      </c>
      <c r="I20" s="956" t="s">
        <v>430</v>
      </c>
    </row>
    <row r="21" spans="1:9" ht="12.25">
      <c r="A21" s="959" t="s">
        <v>372</v>
      </c>
      <c r="B21" s="956" t="s">
        <v>430</v>
      </c>
      <c r="C21" s="956" t="s">
        <v>430</v>
      </c>
      <c r="D21" s="958">
        <v>2218</v>
      </c>
      <c r="E21" s="956" t="s">
        <v>430</v>
      </c>
      <c r="F21" s="956" t="s">
        <v>430</v>
      </c>
      <c r="G21" s="956" t="s">
        <v>430</v>
      </c>
      <c r="H21" s="958">
        <v>2075</v>
      </c>
      <c r="I21" s="956" t="s">
        <v>430</v>
      </c>
    </row>
    <row r="22" spans="1:9" ht="12.25">
      <c r="A22" s="956" t="s">
        <v>430</v>
      </c>
      <c r="B22" s="956" t="s">
        <v>430</v>
      </c>
      <c r="C22" s="956" t="s">
        <v>430</v>
      </c>
      <c r="E22" s="956" t="s">
        <v>430</v>
      </c>
      <c r="F22" s="956" t="s">
        <v>430</v>
      </c>
      <c r="G22" s="956" t="s">
        <v>430</v>
      </c>
      <c r="I22" s="956" t="s">
        <v>430</v>
      </c>
    </row>
    <row r="23" spans="1:9" ht="12.25">
      <c r="A23" s="956" t="s">
        <v>430</v>
      </c>
      <c r="B23" s="956" t="s">
        <v>430</v>
      </c>
      <c r="C23" s="956" t="s">
        <v>430</v>
      </c>
      <c r="D23" s="956" t="s">
        <v>430</v>
      </c>
      <c r="E23" s="956" t="s">
        <v>430</v>
      </c>
      <c r="F23" s="956" t="s">
        <v>430</v>
      </c>
      <c r="G23" s="956" t="s">
        <v>430</v>
      </c>
      <c r="H23" s="956" t="s">
        <v>430</v>
      </c>
      <c r="I23" s="956" t="s">
        <v>430</v>
      </c>
    </row>
    <row r="24" spans="1:9" ht="12.5">
      <c r="A24" s="955" t="s">
        <v>463</v>
      </c>
      <c r="B24" s="956" t="s">
        <v>430</v>
      </c>
      <c r="C24" s="956" t="s">
        <v>430</v>
      </c>
      <c r="D24" s="958">
        <v>43052</v>
      </c>
      <c r="E24" s="956" t="s">
        <v>430</v>
      </c>
      <c r="F24" s="956" t="s">
        <v>430</v>
      </c>
      <c r="G24" s="956" t="s">
        <v>430</v>
      </c>
      <c r="H24" s="958">
        <v>42004</v>
      </c>
      <c r="I24" s="956" t="s">
        <v>430</v>
      </c>
    </row>
    <row r="25" spans="1:9" ht="12.25">
      <c r="A25" s="956" t="s">
        <v>430</v>
      </c>
      <c r="B25" s="956" t="s">
        <v>430</v>
      </c>
      <c r="C25" s="956" t="s">
        <v>430</v>
      </c>
      <c r="D25" s="956" t="s">
        <v>430</v>
      </c>
      <c r="E25" s="956" t="s">
        <v>430</v>
      </c>
      <c r="F25" s="956" t="s">
        <v>430</v>
      </c>
      <c r="G25" s="956" t="s">
        <v>430</v>
      </c>
      <c r="H25" s="956" t="s">
        <v>430</v>
      </c>
      <c r="I25" s="956" t="s">
        <v>430</v>
      </c>
    </row>
    <row r="26" spans="1:9" ht="12.25">
      <c r="A26" s="959" t="s">
        <v>196</v>
      </c>
      <c r="B26" s="956" t="s">
        <v>430</v>
      </c>
      <c r="C26" s="956" t="s">
        <v>430</v>
      </c>
      <c r="D26" s="958">
        <v>77</v>
      </c>
      <c r="E26" s="956" t="s">
        <v>430</v>
      </c>
      <c r="F26" s="956" t="s">
        <v>430</v>
      </c>
      <c r="G26" s="956" t="s">
        <v>430</v>
      </c>
      <c r="H26" s="958">
        <v>51</v>
      </c>
      <c r="I26" s="956" t="s">
        <v>430</v>
      </c>
    </row>
    <row r="27" spans="1:9" ht="12.25">
      <c r="A27" s="959" t="s">
        <v>459</v>
      </c>
      <c r="B27" s="956" t="s">
        <v>430</v>
      </c>
      <c r="C27" s="956" t="s">
        <v>430</v>
      </c>
      <c r="D27" s="958">
        <v>452</v>
      </c>
      <c r="E27" s="965" t="s">
        <v>811</v>
      </c>
      <c r="F27" s="964" t="s">
        <v>430</v>
      </c>
      <c r="G27" s="956" t="s">
        <v>430</v>
      </c>
      <c r="H27" s="958">
        <v>460</v>
      </c>
      <c r="I27" s="965" t="s">
        <v>811</v>
      </c>
    </row>
    <row r="28" spans="1:9" ht="12.25">
      <c r="A28" s="959" t="s">
        <v>458</v>
      </c>
      <c r="B28" s="956" t="s">
        <v>430</v>
      </c>
      <c r="C28" s="956" t="s">
        <v>430</v>
      </c>
      <c r="D28" s="958">
        <v>1974</v>
      </c>
      <c r="E28" s="963">
        <f>D28/'Income Statement'!L8</f>
        <v>0.14718162839248433</v>
      </c>
      <c r="F28" s="964" t="s">
        <v>430</v>
      </c>
      <c r="G28" s="956" t="s">
        <v>430</v>
      </c>
      <c r="H28" s="958">
        <v>2101</v>
      </c>
      <c r="I28" s="963">
        <f>H28/'Income Statement'!K8</f>
        <v>0.16170245516816747</v>
      </c>
    </row>
    <row r="29" spans="1:9" ht="12.25">
      <c r="A29" s="959" t="s">
        <v>810</v>
      </c>
      <c r="B29" s="956" t="s">
        <v>430</v>
      </c>
      <c r="C29" s="956" t="s">
        <v>430</v>
      </c>
      <c r="D29" s="958">
        <v>1896</v>
      </c>
      <c r="E29" s="956" t="s">
        <v>430</v>
      </c>
      <c r="F29" s="956" t="s">
        <v>430</v>
      </c>
      <c r="G29" s="956" t="s">
        <v>430</v>
      </c>
      <c r="H29" s="958">
        <v>2053</v>
      </c>
      <c r="I29" s="956" t="s">
        <v>430</v>
      </c>
    </row>
    <row r="30" spans="1:9" ht="12.25">
      <c r="A30" s="959" t="s">
        <v>809</v>
      </c>
    </row>
    <row r="31" spans="1:9" ht="12.25">
      <c r="A31" s="959" t="s">
        <v>456</v>
      </c>
      <c r="B31" s="956" t="s">
        <v>430</v>
      </c>
      <c r="C31" s="956" t="s">
        <v>430</v>
      </c>
      <c r="D31" s="958">
        <v>319</v>
      </c>
      <c r="E31" s="956" t="s">
        <v>430</v>
      </c>
      <c r="F31" s="956" t="s">
        <v>430</v>
      </c>
      <c r="G31" s="956" t="s">
        <v>430</v>
      </c>
      <c r="H31" s="958">
        <v>308</v>
      </c>
      <c r="I31" s="956" t="s">
        <v>430</v>
      </c>
    </row>
    <row r="32" spans="1:9" ht="12.25">
      <c r="A32" s="959" t="s">
        <v>455</v>
      </c>
      <c r="B32" s="956" t="s">
        <v>430</v>
      </c>
      <c r="C32" s="956" t="s">
        <v>430</v>
      </c>
      <c r="D32" s="958">
        <v>1563</v>
      </c>
      <c r="E32" s="956" t="s">
        <v>430</v>
      </c>
      <c r="F32" s="956" t="s">
        <v>430</v>
      </c>
      <c r="G32" s="956" t="s">
        <v>430</v>
      </c>
      <c r="H32" s="958">
        <v>1533</v>
      </c>
      <c r="I32" s="956" t="s">
        <v>430</v>
      </c>
    </row>
    <row r="33" spans="1:12" ht="12.25">
      <c r="A33" s="959" t="s">
        <v>449</v>
      </c>
      <c r="B33" s="956" t="s">
        <v>430</v>
      </c>
      <c r="C33" s="956" t="s">
        <v>430</v>
      </c>
      <c r="D33" s="956" t="s">
        <v>430</v>
      </c>
      <c r="E33" s="956" t="s">
        <v>430</v>
      </c>
      <c r="F33" s="956" t="s">
        <v>430</v>
      </c>
      <c r="G33" s="956" t="s">
        <v>430</v>
      </c>
      <c r="H33" s="958">
        <v>272</v>
      </c>
      <c r="I33" s="956" t="s">
        <v>430</v>
      </c>
    </row>
    <row r="34" spans="1:12" ht="12.25">
      <c r="A34" s="959" t="s">
        <v>217</v>
      </c>
      <c r="B34" s="956" t="s">
        <v>430</v>
      </c>
      <c r="C34" s="956" t="s">
        <v>430</v>
      </c>
      <c r="D34" s="958">
        <v>467</v>
      </c>
      <c r="E34" s="956" t="s">
        <v>430</v>
      </c>
      <c r="F34" s="956" t="s">
        <v>430</v>
      </c>
      <c r="G34" s="956" t="s">
        <v>430</v>
      </c>
      <c r="H34" s="958">
        <v>467</v>
      </c>
      <c r="I34" s="956" t="s">
        <v>430</v>
      </c>
    </row>
    <row r="35" spans="1:12" ht="12.25">
      <c r="A35" s="959" t="s">
        <v>454</v>
      </c>
      <c r="B35" s="956" t="s">
        <v>430</v>
      </c>
      <c r="C35" s="956" t="s">
        <v>430</v>
      </c>
      <c r="D35" s="958">
        <v>1282</v>
      </c>
      <c r="E35" s="956" t="s">
        <v>430</v>
      </c>
      <c r="F35" s="956" t="s">
        <v>430</v>
      </c>
      <c r="G35" s="956" t="s">
        <v>430</v>
      </c>
      <c r="H35" s="958">
        <v>1200</v>
      </c>
      <c r="I35" s="956" t="s">
        <v>430</v>
      </c>
    </row>
    <row r="36" spans="1:12" ht="12.25">
      <c r="A36" s="956" t="s">
        <v>430</v>
      </c>
      <c r="B36" s="956" t="s">
        <v>430</v>
      </c>
      <c r="C36" s="956" t="s">
        <v>430</v>
      </c>
      <c r="E36" s="956" t="s">
        <v>430</v>
      </c>
      <c r="F36" s="956" t="s">
        <v>430</v>
      </c>
      <c r="G36" s="956" t="s">
        <v>430</v>
      </c>
      <c r="I36" s="956" t="s">
        <v>430</v>
      </c>
    </row>
    <row r="37" spans="1:12" ht="12.25">
      <c r="A37" s="956" t="s">
        <v>430</v>
      </c>
      <c r="B37" s="956" t="s">
        <v>430</v>
      </c>
      <c r="C37" s="962" t="s">
        <v>430</v>
      </c>
      <c r="D37" s="962" t="s">
        <v>430</v>
      </c>
      <c r="E37" s="962" t="s">
        <v>430</v>
      </c>
      <c r="F37" s="962" t="s">
        <v>430</v>
      </c>
      <c r="G37" s="962" t="s">
        <v>430</v>
      </c>
      <c r="H37" s="962" t="s">
        <v>430</v>
      </c>
      <c r="I37" s="962" t="s">
        <v>430</v>
      </c>
      <c r="J37" s="961"/>
      <c r="K37" s="961"/>
      <c r="L37" s="960">
        <v>314.39999999999998</v>
      </c>
    </row>
    <row r="38" spans="1:12" ht="12.5">
      <c r="A38" s="955" t="s">
        <v>453</v>
      </c>
      <c r="B38" s="956" t="s">
        <v>465</v>
      </c>
      <c r="C38" s="954">
        <v>175.8</v>
      </c>
      <c r="D38" s="957">
        <v>172.9</v>
      </c>
      <c r="E38" s="956">
        <v>181.3</v>
      </c>
      <c r="F38" s="956">
        <v>193.2</v>
      </c>
      <c r="G38" s="957">
        <v>204.2</v>
      </c>
      <c r="H38" s="954">
        <v>422.4</v>
      </c>
      <c r="I38" s="956">
        <v>400.3</v>
      </c>
      <c r="J38" s="954">
        <v>366.8</v>
      </c>
      <c r="K38" s="954">
        <v>353</v>
      </c>
      <c r="L38" s="954">
        <v>317.3</v>
      </c>
    </row>
    <row r="39" spans="1:12" ht="12.25">
      <c r="A39" s="956" t="s">
        <v>430</v>
      </c>
      <c r="B39" s="956" t="s">
        <v>430</v>
      </c>
      <c r="C39" s="956" t="s">
        <v>430</v>
      </c>
      <c r="E39" s="956" t="s">
        <v>430</v>
      </c>
      <c r="F39" s="956" t="s">
        <v>430</v>
      </c>
      <c r="G39" s="956" t="s">
        <v>430</v>
      </c>
      <c r="I39" s="956" t="s">
        <v>430</v>
      </c>
    </row>
    <row r="40" spans="1:12" ht="12.25">
      <c r="A40" s="956" t="s">
        <v>430</v>
      </c>
      <c r="B40" s="956" t="s">
        <v>430</v>
      </c>
      <c r="C40" s="956" t="s">
        <v>430</v>
      </c>
      <c r="D40" s="956" t="s">
        <v>430</v>
      </c>
      <c r="E40" s="956" t="s">
        <v>430</v>
      </c>
      <c r="F40" s="956" t="s">
        <v>430</v>
      </c>
      <c r="G40" s="956" t="s">
        <v>430</v>
      </c>
      <c r="H40" s="956" t="s">
        <v>430</v>
      </c>
      <c r="I40" s="956" t="s">
        <v>430</v>
      </c>
    </row>
    <row r="41" spans="1:12" ht="12.25">
      <c r="A41" s="959" t="s">
        <v>20</v>
      </c>
      <c r="B41" s="956" t="s">
        <v>430</v>
      </c>
      <c r="C41" s="956" t="s">
        <v>430</v>
      </c>
      <c r="D41" s="956" t="s">
        <v>430</v>
      </c>
      <c r="E41" s="956" t="s">
        <v>430</v>
      </c>
      <c r="F41" s="956" t="s">
        <v>430</v>
      </c>
      <c r="G41" s="956" t="s">
        <v>430</v>
      </c>
      <c r="H41" s="956" t="s">
        <v>430</v>
      </c>
      <c r="I41" s="956" t="s">
        <v>430</v>
      </c>
    </row>
    <row r="42" spans="1:12" ht="12.25">
      <c r="A42" s="956" t="s">
        <v>430</v>
      </c>
      <c r="B42" s="956" t="s">
        <v>430</v>
      </c>
      <c r="C42" s="956" t="s">
        <v>430</v>
      </c>
      <c r="D42" s="956" t="s">
        <v>430</v>
      </c>
      <c r="E42" s="956" t="s">
        <v>430</v>
      </c>
      <c r="F42" s="956" t="s">
        <v>430</v>
      </c>
      <c r="G42" s="956" t="s">
        <v>430</v>
      </c>
      <c r="H42" s="956" t="s">
        <v>430</v>
      </c>
      <c r="I42" s="956" t="s">
        <v>430</v>
      </c>
    </row>
    <row r="43" spans="1:12" ht="12.25">
      <c r="A43" s="959" t="s">
        <v>451</v>
      </c>
      <c r="B43" s="956" t="s">
        <v>430</v>
      </c>
      <c r="D43" s="957">
        <v>22755</v>
      </c>
      <c r="E43" s="956" t="s">
        <v>430</v>
      </c>
      <c r="F43" s="956" t="s">
        <v>430</v>
      </c>
      <c r="G43" s="957">
        <v>22839</v>
      </c>
      <c r="I43" s="956" t="s">
        <v>430</v>
      </c>
    </row>
    <row r="44" spans="1:12" ht="12.25">
      <c r="A44" s="959" t="s">
        <v>450</v>
      </c>
      <c r="B44" s="956" t="s">
        <v>430</v>
      </c>
      <c r="C44" s="956" t="s">
        <v>430</v>
      </c>
      <c r="D44" s="958">
        <v>6133</v>
      </c>
      <c r="E44" s="956" t="s">
        <v>430</v>
      </c>
      <c r="F44" s="956" t="s">
        <v>430</v>
      </c>
      <c r="G44" s="956" t="s">
        <v>430</v>
      </c>
      <c r="H44" s="958">
        <v>6153</v>
      </c>
      <c r="I44" s="956" t="s">
        <v>430</v>
      </c>
    </row>
    <row r="45" spans="1:12" ht="12.25">
      <c r="A45" s="959" t="s">
        <v>447</v>
      </c>
      <c r="B45" s="956" t="s">
        <v>430</v>
      </c>
      <c r="C45" s="956" t="s">
        <v>430</v>
      </c>
      <c r="D45" s="958">
        <v>3975</v>
      </c>
      <c r="E45" s="956" t="s">
        <v>430</v>
      </c>
      <c r="F45" s="956" t="s">
        <v>430</v>
      </c>
      <c r="G45" s="956" t="s">
        <v>430</v>
      </c>
      <c r="H45" s="958">
        <v>3975</v>
      </c>
      <c r="I45" s="956" t="s">
        <v>430</v>
      </c>
    </row>
    <row r="46" spans="1:12" ht="12.25">
      <c r="A46" s="959" t="s">
        <v>449</v>
      </c>
      <c r="B46" s="956" t="s">
        <v>430</v>
      </c>
      <c r="C46" s="956" t="s">
        <v>430</v>
      </c>
      <c r="D46" s="958">
        <v>148</v>
      </c>
      <c r="E46" s="956" t="s">
        <v>430</v>
      </c>
      <c r="F46" s="956" t="s">
        <v>430</v>
      </c>
      <c r="G46" s="956" t="s">
        <v>430</v>
      </c>
      <c r="H46" s="956" t="s">
        <v>430</v>
      </c>
      <c r="I46" s="956" t="s">
        <v>430</v>
      </c>
    </row>
    <row r="47" spans="1:12" ht="12.25">
      <c r="A47" s="959" t="s">
        <v>445</v>
      </c>
      <c r="B47" s="956" t="s">
        <v>430</v>
      </c>
      <c r="C47" s="956" t="s">
        <v>430</v>
      </c>
      <c r="D47" s="958">
        <v>115</v>
      </c>
      <c r="E47" s="956" t="s">
        <v>430</v>
      </c>
      <c r="F47" s="956" t="s">
        <v>430</v>
      </c>
      <c r="G47" s="956" t="s">
        <v>430</v>
      </c>
      <c r="H47" s="958">
        <v>118</v>
      </c>
      <c r="I47" s="956" t="s">
        <v>430</v>
      </c>
    </row>
    <row r="48" spans="1:12" ht="12.25">
      <c r="A48" s="959" t="s">
        <v>444</v>
      </c>
      <c r="B48" s="956" t="s">
        <v>430</v>
      </c>
      <c r="C48" s="956" t="s">
        <v>430</v>
      </c>
      <c r="D48" s="958">
        <v>1977</v>
      </c>
      <c r="E48" s="956" t="s">
        <v>430</v>
      </c>
      <c r="F48" s="956" t="s">
        <v>430</v>
      </c>
      <c r="G48" s="956" t="s">
        <v>430</v>
      </c>
      <c r="H48" s="958">
        <v>1730</v>
      </c>
      <c r="I48" s="956" t="s">
        <v>430</v>
      </c>
    </row>
    <row r="49" spans="1:9" ht="12.25">
      <c r="A49" s="956" t="s">
        <v>430</v>
      </c>
      <c r="B49" s="956" t="s">
        <v>430</v>
      </c>
      <c r="C49" s="956" t="s">
        <v>430</v>
      </c>
      <c r="E49" s="956" t="s">
        <v>430</v>
      </c>
      <c r="F49" s="956" t="s">
        <v>430</v>
      </c>
      <c r="G49" s="956" t="s">
        <v>430</v>
      </c>
      <c r="I49" s="956" t="s">
        <v>430</v>
      </c>
    </row>
    <row r="50" spans="1:9" ht="12.25">
      <c r="A50" s="956" t="s">
        <v>430</v>
      </c>
      <c r="B50" s="956" t="s">
        <v>430</v>
      </c>
      <c r="C50" s="956" t="s">
        <v>430</v>
      </c>
      <c r="D50" s="956" t="s">
        <v>430</v>
      </c>
      <c r="E50" s="956" t="s">
        <v>430</v>
      </c>
      <c r="F50" s="956" t="s">
        <v>430</v>
      </c>
      <c r="G50" s="956" t="s">
        <v>430</v>
      </c>
      <c r="H50" s="956" t="s">
        <v>430</v>
      </c>
      <c r="I50" s="956" t="s">
        <v>430</v>
      </c>
    </row>
    <row r="51" spans="1:9" ht="12.5">
      <c r="A51" s="955" t="s">
        <v>443</v>
      </c>
      <c r="B51" s="956" t="s">
        <v>430</v>
      </c>
      <c r="C51" s="956" t="s">
        <v>430</v>
      </c>
      <c r="D51" s="958">
        <v>35103</v>
      </c>
      <c r="E51" s="956" t="s">
        <v>430</v>
      </c>
      <c r="F51" s="956" t="s">
        <v>430</v>
      </c>
      <c r="G51" s="956" t="s">
        <v>430</v>
      </c>
      <c r="H51" s="958">
        <v>34815</v>
      </c>
      <c r="I51" s="956" t="s">
        <v>430</v>
      </c>
    </row>
    <row r="52" spans="1:9" ht="12.25">
      <c r="A52" s="956" t="s">
        <v>430</v>
      </c>
      <c r="B52" s="956" t="s">
        <v>430</v>
      </c>
      <c r="C52" s="956" t="s">
        <v>430</v>
      </c>
      <c r="E52" s="956" t="s">
        <v>430</v>
      </c>
      <c r="F52" s="956" t="s">
        <v>430</v>
      </c>
      <c r="G52" s="956" t="s">
        <v>430</v>
      </c>
      <c r="I52" s="956" t="s">
        <v>430</v>
      </c>
    </row>
    <row r="53" spans="1:9" ht="12.25">
      <c r="A53" s="956" t="s">
        <v>430</v>
      </c>
      <c r="B53" s="956" t="s">
        <v>430</v>
      </c>
      <c r="C53" s="956" t="s">
        <v>430</v>
      </c>
      <c r="D53" s="956" t="s">
        <v>430</v>
      </c>
      <c r="E53" s="956" t="s">
        <v>430</v>
      </c>
      <c r="F53" s="956" t="s">
        <v>430</v>
      </c>
      <c r="G53" s="956" t="s">
        <v>430</v>
      </c>
      <c r="H53" s="956" t="s">
        <v>430</v>
      </c>
      <c r="I53" s="956" t="s">
        <v>430</v>
      </c>
    </row>
    <row r="54" spans="1:9" ht="12.25">
      <c r="A54" s="959" t="s">
        <v>808</v>
      </c>
      <c r="B54" s="956" t="s">
        <v>430</v>
      </c>
      <c r="C54" s="956" t="s">
        <v>430</v>
      </c>
      <c r="D54" s="956" t="s">
        <v>430</v>
      </c>
      <c r="E54" s="956" t="s">
        <v>430</v>
      </c>
      <c r="F54" s="956" t="s">
        <v>430</v>
      </c>
      <c r="G54" s="956" t="s">
        <v>430</v>
      </c>
      <c r="H54" s="956" t="s">
        <v>430</v>
      </c>
      <c r="I54" s="956" t="s">
        <v>430</v>
      </c>
    </row>
    <row r="55" spans="1:9" ht="12.25">
      <c r="A55" s="956" t="s">
        <v>430</v>
      </c>
      <c r="B55" s="956" t="s">
        <v>430</v>
      </c>
      <c r="C55" s="956" t="s">
        <v>430</v>
      </c>
      <c r="D55" s="956" t="s">
        <v>430</v>
      </c>
      <c r="E55" s="956" t="s">
        <v>430</v>
      </c>
      <c r="F55" s="956" t="s">
        <v>430</v>
      </c>
      <c r="G55" s="956" t="s">
        <v>430</v>
      </c>
      <c r="H55" s="956" t="s">
        <v>430</v>
      </c>
      <c r="I55" s="956" t="s">
        <v>430</v>
      </c>
    </row>
    <row r="56" spans="1:9" ht="12.25">
      <c r="A56" s="959" t="s">
        <v>807</v>
      </c>
      <c r="B56" s="956" t="s">
        <v>430</v>
      </c>
      <c r="C56" s="956" t="s">
        <v>430</v>
      </c>
      <c r="D56" s="956" t="s">
        <v>430</v>
      </c>
      <c r="E56" s="956" t="s">
        <v>430</v>
      </c>
      <c r="F56" s="956" t="s">
        <v>430</v>
      </c>
      <c r="G56" s="956" t="s">
        <v>430</v>
      </c>
      <c r="H56" s="956" t="s">
        <v>430</v>
      </c>
      <c r="I56" s="956" t="s">
        <v>430</v>
      </c>
    </row>
    <row r="57" spans="1:9" ht="12.25">
      <c r="A57" s="956" t="s">
        <v>430</v>
      </c>
      <c r="B57" s="956" t="s">
        <v>430</v>
      </c>
      <c r="C57" s="956" t="s">
        <v>430</v>
      </c>
      <c r="D57" s="956" t="s">
        <v>430</v>
      </c>
      <c r="E57" s="956" t="s">
        <v>430</v>
      </c>
      <c r="F57" s="956" t="s">
        <v>430</v>
      </c>
      <c r="G57" s="956" t="s">
        <v>430</v>
      </c>
      <c r="H57" s="956" t="s">
        <v>430</v>
      </c>
      <c r="I57" s="956" t="s">
        <v>430</v>
      </c>
    </row>
    <row r="58" spans="1:9" ht="12.25">
      <c r="A58" s="959" t="s">
        <v>806</v>
      </c>
      <c r="B58" s="956" t="s">
        <v>430</v>
      </c>
      <c r="C58" s="956" t="s">
        <v>430</v>
      </c>
      <c r="D58" s="958">
        <v>372</v>
      </c>
      <c r="E58" s="956" t="s">
        <v>430</v>
      </c>
      <c r="F58" s="956" t="s">
        <v>430</v>
      </c>
      <c r="G58" s="956" t="s">
        <v>430</v>
      </c>
      <c r="H58" s="958">
        <v>372</v>
      </c>
      <c r="I58" s="956" t="s">
        <v>430</v>
      </c>
    </row>
    <row r="59" spans="1:9" ht="12.25">
      <c r="A59" s="959" t="s">
        <v>805</v>
      </c>
    </row>
    <row r="60" spans="1:9" ht="12.25">
      <c r="A60" s="959" t="s">
        <v>438</v>
      </c>
      <c r="B60" s="956" t="s">
        <v>430</v>
      </c>
      <c r="C60" s="956" t="s">
        <v>430</v>
      </c>
      <c r="D60" s="958">
        <v>191</v>
      </c>
      <c r="E60" s="956" t="s">
        <v>430</v>
      </c>
      <c r="F60" s="956" t="s">
        <v>430</v>
      </c>
      <c r="G60" s="956" t="s">
        <v>430</v>
      </c>
      <c r="H60" s="958">
        <v>224</v>
      </c>
      <c r="I60" s="956" t="s">
        <v>430</v>
      </c>
    </row>
    <row r="61" spans="1:9" ht="12.25">
      <c r="A61" s="959" t="s">
        <v>437</v>
      </c>
      <c r="B61" s="956" t="s">
        <v>430</v>
      </c>
      <c r="C61" s="956" t="s">
        <v>430</v>
      </c>
      <c r="D61" s="958">
        <v>17435</v>
      </c>
      <c r="E61" s="956" t="s">
        <v>430</v>
      </c>
      <c r="F61" s="956" t="s">
        <v>430</v>
      </c>
      <c r="G61" s="956" t="s">
        <v>430</v>
      </c>
      <c r="H61" s="958">
        <v>16235</v>
      </c>
      <c r="I61" s="956" t="s">
        <v>430</v>
      </c>
    </row>
    <row r="62" spans="1:9" ht="12.25">
      <c r="A62" s="959" t="s">
        <v>804</v>
      </c>
      <c r="B62" s="956" t="s">
        <v>430</v>
      </c>
      <c r="C62" s="956" t="s">
        <v>430</v>
      </c>
      <c r="D62" s="958">
        <v>1314</v>
      </c>
      <c r="E62" s="956" t="s">
        <v>430</v>
      </c>
      <c r="F62" s="956" t="s">
        <v>430</v>
      </c>
      <c r="G62" s="956" t="s">
        <v>430</v>
      </c>
      <c r="H62" s="958">
        <v>720</v>
      </c>
      <c r="I62" s="956" t="s">
        <v>430</v>
      </c>
    </row>
    <row r="63" spans="1:9" ht="12.25">
      <c r="A63" s="959" t="s">
        <v>803</v>
      </c>
      <c r="B63" s="956" t="s">
        <v>430</v>
      </c>
      <c r="C63" s="956" t="s">
        <v>430</v>
      </c>
      <c r="D63" s="958">
        <v>-3333</v>
      </c>
      <c r="E63" s="959" t="s">
        <v>430</v>
      </c>
      <c r="F63" s="956" t="s">
        <v>430</v>
      </c>
      <c r="G63" s="956" t="s">
        <v>430</v>
      </c>
      <c r="H63" s="958">
        <v>-1917</v>
      </c>
      <c r="I63" s="959" t="s">
        <v>430</v>
      </c>
    </row>
    <row r="64" spans="1:9" ht="12.25">
      <c r="A64" s="959" t="s">
        <v>802</v>
      </c>
    </row>
    <row r="65" spans="1:9" ht="12.25">
      <c r="A65" s="956" t="s">
        <v>430</v>
      </c>
      <c r="B65" s="956" t="s">
        <v>430</v>
      </c>
      <c r="C65" s="956" t="s">
        <v>430</v>
      </c>
      <c r="E65" s="956" t="s">
        <v>430</v>
      </c>
      <c r="F65" s="956" t="s">
        <v>430</v>
      </c>
      <c r="G65" s="956" t="s">
        <v>430</v>
      </c>
      <c r="I65" s="956" t="s">
        <v>430</v>
      </c>
    </row>
    <row r="66" spans="1:9" ht="12.25">
      <c r="A66" s="956" t="s">
        <v>430</v>
      </c>
      <c r="B66" s="956" t="s">
        <v>430</v>
      </c>
      <c r="C66" s="956" t="s">
        <v>430</v>
      </c>
      <c r="D66" s="956" t="s">
        <v>430</v>
      </c>
      <c r="E66" s="956" t="s">
        <v>430</v>
      </c>
      <c r="F66" s="956" t="s">
        <v>430</v>
      </c>
      <c r="G66" s="956" t="s">
        <v>430</v>
      </c>
      <c r="H66" s="956" t="s">
        <v>430</v>
      </c>
      <c r="I66" s="956" t="s">
        <v>430</v>
      </c>
    </row>
    <row r="67" spans="1:9" ht="12.5">
      <c r="A67" s="955" t="s">
        <v>801</v>
      </c>
      <c r="B67" s="956" t="s">
        <v>430</v>
      </c>
      <c r="C67" s="956" t="s">
        <v>430</v>
      </c>
      <c r="D67" s="958">
        <v>15979</v>
      </c>
      <c r="E67" s="956" t="s">
        <v>430</v>
      </c>
      <c r="F67" s="956" t="s">
        <v>430</v>
      </c>
      <c r="G67" s="956" t="s">
        <v>430</v>
      </c>
      <c r="H67" s="958">
        <v>15634</v>
      </c>
      <c r="I67" s="956" t="s">
        <v>430</v>
      </c>
    </row>
    <row r="68" spans="1:9" ht="12.25">
      <c r="A68" s="956" t="s">
        <v>430</v>
      </c>
      <c r="B68" s="956" t="s">
        <v>430</v>
      </c>
      <c r="C68" s="956" t="s">
        <v>430</v>
      </c>
      <c r="E68" s="956" t="s">
        <v>430</v>
      </c>
      <c r="F68" s="956" t="s">
        <v>430</v>
      </c>
      <c r="G68" s="956" t="s">
        <v>430</v>
      </c>
      <c r="I68" s="956" t="s">
        <v>430</v>
      </c>
    </row>
    <row r="69" spans="1:9" ht="12.25">
      <c r="A69" s="956" t="s">
        <v>430</v>
      </c>
      <c r="B69" s="956" t="s">
        <v>430</v>
      </c>
      <c r="C69" s="956" t="s">
        <v>430</v>
      </c>
      <c r="D69" s="956" t="s">
        <v>430</v>
      </c>
      <c r="E69" s="956" t="s">
        <v>430</v>
      </c>
      <c r="F69" s="956" t="s">
        <v>430</v>
      </c>
      <c r="G69" s="956" t="s">
        <v>430</v>
      </c>
      <c r="H69" s="956" t="s">
        <v>430</v>
      </c>
      <c r="I69" s="956" t="s">
        <v>430</v>
      </c>
    </row>
    <row r="70" spans="1:9" ht="12.5">
      <c r="A70" s="955" t="s">
        <v>800</v>
      </c>
      <c r="B70" s="956" t="s">
        <v>430</v>
      </c>
      <c r="D70" s="957">
        <v>51082</v>
      </c>
      <c r="E70" s="956" t="s">
        <v>430</v>
      </c>
      <c r="F70" s="956" t="s">
        <v>430</v>
      </c>
      <c r="G70" s="957">
        <v>50449</v>
      </c>
      <c r="I70" s="956" t="s">
        <v>430</v>
      </c>
    </row>
    <row r="71" spans="1:9" ht="12.25">
      <c r="A71" s="956" t="s">
        <v>430</v>
      </c>
      <c r="B71" s="956" t="s">
        <v>430</v>
      </c>
      <c r="C71" s="956" t="s">
        <v>430</v>
      </c>
      <c r="E71" s="956" t="s">
        <v>430</v>
      </c>
      <c r="F71" s="956" t="s">
        <v>430</v>
      </c>
      <c r="G71" s="956" t="s">
        <v>430</v>
      </c>
      <c r="I71" s="956" t="s">
        <v>430</v>
      </c>
    </row>
    <row r="72" spans="1:9" ht="12.25">
      <c r="A72" s="956" t="s">
        <v>430</v>
      </c>
    </row>
    <row r="73" spans="1:9" ht="12.25">
      <c r="A73" s="956" t="s">
        <v>430</v>
      </c>
    </row>
    <row r="74" spans="1:9" ht="12.5">
      <c r="A74" s="955" t="s">
        <v>799</v>
      </c>
    </row>
    <row r="75" spans="1:9" ht="12.5">
      <c r="A75" s="955" t="s">
        <v>798</v>
      </c>
    </row>
    <row r="76" spans="1:9" ht="12.5">
      <c r="A76" s="955" t="s">
        <v>797</v>
      </c>
    </row>
  </sheetData>
  <customSheetViews>
    <customSheetView guid="{5A4827F7-D52D-44AD-B257-2AB13F875B96}">
      <selection activeCell="C34" activeCellId="1" sqref="A33 C34"/>
      <pageMargins left="0.39370100000000002" right="0.39370100000000002" top="0.39370100000000002" bottom="0.39370100000000002" header="0.5" footer="0.5"/>
      <headerFooter alignWithMargins="0"/>
    </customSheetView>
  </customSheetViews>
  <pageMargins left="0.39370100000000002" right="0.39370100000000002" top="0.39370100000000002" bottom="0.39370100000000002" header="0.5" footer="0.5"/>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Y168"/>
  <sheetViews>
    <sheetView topLeftCell="A9" zoomScale="75" workbookViewId="0">
      <selection activeCell="L28" sqref="L28"/>
    </sheetView>
  </sheetViews>
  <sheetFormatPr defaultColWidth="9.1796875" defaultRowHeight="13"/>
  <cols>
    <col min="1" max="1" width="4.31640625" style="903" customWidth="1"/>
    <col min="2" max="2" width="21" style="903" customWidth="1"/>
    <col min="3" max="11" width="11.81640625" style="903" customWidth="1"/>
    <col min="12" max="12" width="14.5" style="903" bestFit="1" customWidth="1"/>
    <col min="13" max="13" width="19.8164062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7"/>
      <c r="N3" s="953"/>
    </row>
    <row r="4" spans="2:14" ht="22.75">
      <c r="B4" s="1280" t="s">
        <v>824</v>
      </c>
      <c r="C4" s="1281"/>
      <c r="D4" s="1281"/>
      <c r="E4" s="1281"/>
      <c r="F4" s="1281"/>
      <c r="G4" s="1281"/>
      <c r="H4" s="1281"/>
      <c r="I4" s="1281"/>
      <c r="J4" s="1281"/>
      <c r="K4" s="1281"/>
      <c r="L4" s="1281"/>
      <c r="M4" s="1282"/>
      <c r="N4" s="953"/>
    </row>
    <row r="5" spans="2:14" ht="15.75">
      <c r="B5" s="1283" t="s">
        <v>794</v>
      </c>
      <c r="C5" s="1284"/>
      <c r="D5" s="1284"/>
      <c r="E5" s="1284"/>
      <c r="F5" s="1284"/>
      <c r="G5" s="1284"/>
      <c r="H5" s="1284"/>
      <c r="I5" s="1284"/>
      <c r="J5" s="1284"/>
      <c r="K5" s="1284"/>
      <c r="L5" s="1284"/>
      <c r="M5" s="1285"/>
      <c r="N5" s="953"/>
    </row>
    <row r="6" spans="2:14" ht="16.5"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41">
        <f>'Balance Sheet'!C9-Capital!C11</f>
        <v>0</v>
      </c>
      <c r="D8" s="941">
        <f>'Balance Sheet'!D11-Capital!D13</f>
        <v>0</v>
      </c>
      <c r="E8" s="941">
        <f>'Balance Sheet'!E11-Capital!E13</f>
        <v>0</v>
      </c>
      <c r="F8" s="941">
        <f>'Balance Sheet'!F11-Capital!F13</f>
        <v>0</v>
      </c>
      <c r="G8" s="941">
        <f>'Balance Sheet'!G11-Capital!G13</f>
        <v>0</v>
      </c>
      <c r="H8" s="941">
        <f>'Balance Sheet'!H11-Capital!H13</f>
        <v>0</v>
      </c>
      <c r="I8" s="941">
        <f>'Balance Sheet'!I11-Capital!I13</f>
        <v>0</v>
      </c>
      <c r="J8" s="941">
        <f>'Balance Sheet'!J11-Capital!J13</f>
        <v>0</v>
      </c>
      <c r="K8" s="941">
        <f>'Balance Sheet'!K11-Capital!K13</f>
        <v>0</v>
      </c>
      <c r="L8" s="941">
        <f>'Balance Sheet'!L11-Capital!L13</f>
        <v>0</v>
      </c>
      <c r="M8" s="995" t="str">
        <f>B8</f>
        <v>Excess Cash</v>
      </c>
      <c r="N8" s="952"/>
    </row>
    <row r="9" spans="2:14" ht="15.75">
      <c r="B9" s="994">
        <v>0.02</v>
      </c>
      <c r="C9" s="941"/>
      <c r="D9" s="941"/>
      <c r="E9" s="941"/>
      <c r="F9" s="941"/>
      <c r="G9" s="941"/>
      <c r="H9" s="941"/>
      <c r="I9" s="941"/>
      <c r="J9" s="941"/>
      <c r="K9" s="941"/>
      <c r="L9" s="941"/>
      <c r="M9" s="940"/>
      <c r="N9" s="952"/>
    </row>
    <row r="10" spans="2:14" ht="15.75">
      <c r="B10" s="993" t="str">
        <f>'Balance Sheet'!B8</f>
        <v>S/T Investments</v>
      </c>
      <c r="C10" s="992">
        <f>'Balance Sheet'!C8</f>
        <v>956.8</v>
      </c>
      <c r="D10" s="980">
        <f>'Balance Sheet'!D8</f>
        <v>1756.7</v>
      </c>
      <c r="E10" s="980">
        <f>'Balance Sheet'!E8</f>
        <v>2695.9</v>
      </c>
      <c r="F10" s="980">
        <f>'Balance Sheet'!F8</f>
        <v>1307.5</v>
      </c>
      <c r="G10" s="980">
        <f>'Balance Sheet'!G8</f>
        <v>1898.5</v>
      </c>
      <c r="H10" s="980">
        <f>'Balance Sheet'!H8</f>
        <v>2254</v>
      </c>
      <c r="I10" s="980">
        <f>'Balance Sheet'!I8</f>
        <v>1839</v>
      </c>
      <c r="J10" s="980">
        <f>'Balance Sheet'!J8</f>
        <v>2478</v>
      </c>
      <c r="K10" s="980">
        <f>'Balance Sheet'!K8</f>
        <v>1918</v>
      </c>
      <c r="L10" s="991">
        <f>'Balance Sheet'!L8</f>
        <v>2046</v>
      </c>
      <c r="M10" s="990" t="str">
        <f>B10</f>
        <v>S/T Investments</v>
      </c>
    </row>
    <row r="11" spans="2:14" ht="15.75">
      <c r="B11" s="944" t="str">
        <f>'Balance Sheet'!B9</f>
        <v>Cash</v>
      </c>
      <c r="C11" s="941">
        <f>IF('Balance Sheet'!C9&lt;'Income Statement'!C8*$B9,'Balance Sheet'!C9,B9*'Income Statement'!C8)</f>
        <v>25.8</v>
      </c>
      <c r="D11" s="941">
        <f>IF('Balance Sheet'!D9&lt;'Income Statement'!D8*$B9,'Balance Sheet'!D9,C9*'Income Statement'!D8)</f>
        <v>41.9</v>
      </c>
      <c r="E11" s="941">
        <f>IF('Balance Sheet'!E9&lt;'Income Statement'!E8*$B9,'Balance Sheet'!E9,D9*'Income Statement'!E8)</f>
        <v>52.2</v>
      </c>
      <c r="F11" s="941">
        <f>IF('Balance Sheet'!F9&lt;'Income Statement'!F8*$B9,'Balance Sheet'!F9,E9*'Income Statement'!F8)</f>
        <v>41.7</v>
      </c>
      <c r="G11" s="941">
        <f>IF('Balance Sheet'!G9&lt;'Income Statement'!G8*$B9,'Balance Sheet'!G9,F9*'Income Statement'!G8)</f>
        <v>35.6</v>
      </c>
      <c r="H11" s="941">
        <f>IF('Balance Sheet'!H9&lt;'Income Statement'!H8*$B9,'Balance Sheet'!H9,G9*'Income Statement'!H8)</f>
        <v>38</v>
      </c>
      <c r="I11" s="941">
        <f>IF('Balance Sheet'!I9&lt;'Income Statement'!I8*$B9,'Balance Sheet'!I9,H9*'Income Statement'!I8)</f>
        <v>49</v>
      </c>
      <c r="J11" s="941">
        <f>IF('Balance Sheet'!J9&lt;'Income Statement'!J8*$B9,'Balance Sheet'!J9,I9*'Income Statement'!J8)</f>
        <v>56</v>
      </c>
      <c r="K11" s="941">
        <f>IF('Balance Sheet'!K9&lt;'Income Statement'!K8*$B9,'Balance Sheet'!K9,J9*'Income Statement'!K8)</f>
        <v>51</v>
      </c>
      <c r="L11" s="941">
        <f>IF('Balance Sheet'!L9&lt;'Income Statement'!L8*$B9,'Balance Sheet'!L9,K9*'Income Statement'!L8)</f>
        <v>77</v>
      </c>
      <c r="M11" s="990" t="str">
        <f>B11</f>
        <v>Cash</v>
      </c>
    </row>
    <row r="12" spans="2:14" ht="15.75">
      <c r="B12" s="944" t="str">
        <f>'Balance Sheet'!B10</f>
        <v>Premiums Receivable</v>
      </c>
      <c r="C12" s="941">
        <f>'Balance Sheet'!C10</f>
        <v>1692.8</v>
      </c>
      <c r="D12" s="941">
        <f>'Balance Sheet'!D10</f>
        <v>2040.6</v>
      </c>
      <c r="E12" s="941">
        <f>'Balance Sheet'!E10</f>
        <v>2188</v>
      </c>
      <c r="F12" s="941">
        <f>'Balance Sheet'!F10</f>
        <v>2336.4</v>
      </c>
      <c r="G12" s="941">
        <f>'Balance Sheet'!G10</f>
        <v>2319.1999999999998</v>
      </c>
      <c r="H12" s="941">
        <f>'Balance Sheet'!H10</f>
        <v>2314</v>
      </c>
      <c r="I12" s="941">
        <f>'Balance Sheet'!I10</f>
        <v>2227</v>
      </c>
      <c r="J12" s="941">
        <f>'Balance Sheet'!J10</f>
        <v>2201</v>
      </c>
      <c r="K12" s="941">
        <f>'Balance Sheet'!K10</f>
        <v>2101</v>
      </c>
      <c r="L12" s="941">
        <f>'Balance Sheet'!L10</f>
        <v>1974</v>
      </c>
      <c r="M12" s="990" t="str">
        <f>B12</f>
        <v>Premiums Receivable</v>
      </c>
    </row>
    <row r="13" spans="2:14" ht="15.75">
      <c r="B13" s="944" t="str">
        <f>'Balance Sheet'!B11</f>
        <v>Other Assets</v>
      </c>
      <c r="C13" s="978">
        <f>'Balance Sheet'!C11</f>
        <v>1331.5</v>
      </c>
      <c r="D13" s="978">
        <f>'Balance Sheet'!D11</f>
        <v>1767.5</v>
      </c>
      <c r="E13" s="978">
        <f>'Balance Sheet'!E11</f>
        <v>1405.9</v>
      </c>
      <c r="F13" s="978">
        <f>'Balance Sheet'!F11</f>
        <v>3306.6000000000004</v>
      </c>
      <c r="G13" s="978">
        <f>'Balance Sheet'!G11</f>
        <v>1429.2</v>
      </c>
      <c r="H13" s="978">
        <f>'Balance Sheet'!H11</f>
        <v>1514</v>
      </c>
      <c r="I13" s="978">
        <f>'Balance Sheet'!I11</f>
        <v>1366</v>
      </c>
      <c r="J13" s="978">
        <f>'Balance Sheet'!J11</f>
        <v>1271</v>
      </c>
      <c r="K13" s="978">
        <f>'Balance Sheet'!K11</f>
        <v>1200</v>
      </c>
      <c r="L13" s="978">
        <f>'Balance Sheet'!L11</f>
        <v>1282</v>
      </c>
      <c r="M13" s="990" t="str">
        <f>B13</f>
        <v>Other Assets</v>
      </c>
    </row>
    <row r="14" spans="2:14" ht="15.75">
      <c r="B14" s="942" t="s">
        <v>792</v>
      </c>
      <c r="C14" s="943">
        <f t="shared" ref="C14:L14" si="1">SUM(C10:C13)</f>
        <v>4006.8999999999996</v>
      </c>
      <c r="D14" s="943">
        <f t="shared" si="1"/>
        <v>5606.7</v>
      </c>
      <c r="E14" s="943">
        <f t="shared" si="1"/>
        <v>6342</v>
      </c>
      <c r="F14" s="943">
        <f t="shared" si="1"/>
        <v>6992.2000000000007</v>
      </c>
      <c r="G14" s="943">
        <f t="shared" si="1"/>
        <v>5682.4999999999991</v>
      </c>
      <c r="H14" s="943">
        <f t="shared" si="1"/>
        <v>6120</v>
      </c>
      <c r="I14" s="943">
        <f t="shared" si="1"/>
        <v>5481</v>
      </c>
      <c r="J14" s="943">
        <f t="shared" si="1"/>
        <v>6006</v>
      </c>
      <c r="K14" s="943">
        <f t="shared" si="1"/>
        <v>5270</v>
      </c>
      <c r="L14" s="943">
        <f t="shared" si="1"/>
        <v>5379</v>
      </c>
      <c r="M14" s="942" t="s">
        <v>792</v>
      </c>
    </row>
    <row r="15" spans="2:14" ht="15.75">
      <c r="B15" s="940"/>
      <c r="C15" s="978"/>
      <c r="D15" s="978"/>
      <c r="E15" s="978"/>
      <c r="F15" s="978"/>
      <c r="G15" s="978"/>
      <c r="H15" s="978"/>
      <c r="I15" s="978"/>
      <c r="J15" s="978"/>
      <c r="K15" s="978"/>
      <c r="L15" s="978"/>
      <c r="M15" s="940"/>
    </row>
    <row r="16" spans="2:14" ht="31.25">
      <c r="B16" s="985" t="str">
        <f>'Balance Sheet'!B22</f>
        <v>Unpaid Losses and Loss Expenses</v>
      </c>
      <c r="C16" s="941">
        <f>'Balance Sheet'!C22</f>
        <v>15514.9</v>
      </c>
      <c r="D16" s="941">
        <f>'Balance Sheet'!D22</f>
        <v>16713.099999999999</v>
      </c>
      <c r="E16" s="941">
        <f>'Balance Sheet'!E22</f>
        <v>17947.8</v>
      </c>
      <c r="F16" s="941">
        <f>'Balance Sheet'!F22</f>
        <v>20291.900000000001</v>
      </c>
      <c r="G16" s="941">
        <f>'Balance Sheet'!G22</f>
        <v>22481.7</v>
      </c>
      <c r="H16" s="941">
        <f>'Balance Sheet'!H22</f>
        <v>22293</v>
      </c>
      <c r="I16" s="941">
        <f>'Balance Sheet'!I22</f>
        <v>22623</v>
      </c>
      <c r="J16" s="941">
        <f>'Balance Sheet'!J22</f>
        <v>22367</v>
      </c>
      <c r="K16" s="941">
        <f>'Balance Sheet'!K22</f>
        <v>22839</v>
      </c>
      <c r="L16" s="941">
        <f>'Balance Sheet'!L22</f>
        <v>22755</v>
      </c>
      <c r="M16" s="989" t="str">
        <f>B16</f>
        <v>Unpaid Losses and Loss Expenses</v>
      </c>
    </row>
    <row r="17" spans="2:13" ht="15.75">
      <c r="B17" s="944" t="str">
        <f>'Balance Sheet'!B25</f>
        <v>Other C.L.</v>
      </c>
      <c r="C17" s="941">
        <f>SUM('Balance Sheet'!C23:C25)-C30</f>
        <v>5858.8</v>
      </c>
      <c r="D17" s="941">
        <f>SUM('Balance Sheet'!D23:D25)-D30</f>
        <v>8583</v>
      </c>
      <c r="E17" s="941">
        <f>SUM('Balance Sheet'!E23:E25)-E30</f>
        <v>9076.9</v>
      </c>
      <c r="F17" s="941">
        <f>SUM('Balance Sheet'!F23:F25)-F30</f>
        <v>11028.3</v>
      </c>
      <c r="G17" s="941">
        <f>SUM('Balance Sheet'!G23:G25)-G30</f>
        <v>10704.7</v>
      </c>
      <c r="H17" s="941">
        <f>SUM('Balance Sheet'!H23:H25)-H30</f>
        <v>11655</v>
      </c>
      <c r="I17" s="941">
        <f>SUM('Balance Sheet'!I23:I25)-I30</f>
        <v>10046</v>
      </c>
      <c r="J17" s="941">
        <f>SUM('Balance Sheet'!J23:J25)-J30</f>
        <v>8655</v>
      </c>
      <c r="K17" s="941">
        <f>SUM('Balance Sheet'!K23:K25)-K30</f>
        <v>8001</v>
      </c>
      <c r="L17" s="941">
        <f>SUM('Balance Sheet'!L23:L25)-L30</f>
        <v>8225</v>
      </c>
      <c r="M17" s="940" t="str">
        <f>B17</f>
        <v>Other C.L.</v>
      </c>
    </row>
    <row r="18" spans="2:13" ht="15.75">
      <c r="B18" s="942" t="s">
        <v>785</v>
      </c>
      <c r="C18" s="943">
        <f t="shared" ref="C18:L18" si="2">C16+C17</f>
        <v>21373.7</v>
      </c>
      <c r="D18" s="943">
        <f t="shared" si="2"/>
        <v>25296.1</v>
      </c>
      <c r="E18" s="943">
        <f t="shared" si="2"/>
        <v>27024.699999999997</v>
      </c>
      <c r="F18" s="943">
        <f t="shared" si="2"/>
        <v>31320.2</v>
      </c>
      <c r="G18" s="943">
        <f t="shared" si="2"/>
        <v>33186.400000000001</v>
      </c>
      <c r="H18" s="943">
        <f t="shared" si="2"/>
        <v>33948</v>
      </c>
      <c r="I18" s="943">
        <f t="shared" si="2"/>
        <v>32669</v>
      </c>
      <c r="J18" s="943">
        <f t="shared" si="2"/>
        <v>31022</v>
      </c>
      <c r="K18" s="943">
        <f t="shared" si="2"/>
        <v>30840</v>
      </c>
      <c r="L18" s="943">
        <f t="shared" si="2"/>
        <v>30980</v>
      </c>
      <c r="M18" s="942" t="s">
        <v>785</v>
      </c>
    </row>
    <row r="19" spans="2:13" ht="15.75">
      <c r="B19" s="981"/>
      <c r="C19" s="978"/>
      <c r="D19" s="978"/>
      <c r="E19" s="978"/>
      <c r="F19" s="978"/>
      <c r="G19" s="978"/>
      <c r="H19" s="978"/>
      <c r="I19" s="978"/>
      <c r="J19" s="978"/>
      <c r="K19" s="978"/>
      <c r="L19" s="978"/>
      <c r="M19" s="940"/>
    </row>
    <row r="20" spans="2:13" ht="15.75">
      <c r="B20" s="987" t="s">
        <v>823</v>
      </c>
      <c r="C20" s="988">
        <f t="shared" ref="C20:L20" si="3">C14-C18</f>
        <v>-17366.800000000003</v>
      </c>
      <c r="D20" s="988">
        <f t="shared" si="3"/>
        <v>-19689.399999999998</v>
      </c>
      <c r="E20" s="988">
        <f t="shared" si="3"/>
        <v>-20682.699999999997</v>
      </c>
      <c r="F20" s="988">
        <f t="shared" si="3"/>
        <v>-24328</v>
      </c>
      <c r="G20" s="988">
        <f t="shared" si="3"/>
        <v>-27503.9</v>
      </c>
      <c r="H20" s="988">
        <f t="shared" si="3"/>
        <v>-27828</v>
      </c>
      <c r="I20" s="988">
        <f t="shared" si="3"/>
        <v>-27188</v>
      </c>
      <c r="J20" s="988">
        <f t="shared" si="3"/>
        <v>-25016</v>
      </c>
      <c r="K20" s="988">
        <f t="shared" si="3"/>
        <v>-25570</v>
      </c>
      <c r="L20" s="988">
        <f t="shared" si="3"/>
        <v>-25601</v>
      </c>
      <c r="M20" s="987" t="s">
        <v>823</v>
      </c>
    </row>
    <row r="21" spans="2:13" ht="15.75">
      <c r="B21" s="940"/>
      <c r="C21" s="978"/>
      <c r="D21" s="978"/>
      <c r="E21" s="978"/>
      <c r="F21" s="978"/>
      <c r="G21" s="978"/>
      <c r="H21" s="978"/>
      <c r="I21" s="978"/>
      <c r="J21" s="978"/>
      <c r="K21" s="978"/>
      <c r="L21" s="978"/>
      <c r="M21" s="940"/>
    </row>
    <row r="22" spans="2:13" ht="15.75">
      <c r="B22" s="986" t="str">
        <f>'Balance Sheet'!B14</f>
        <v>Investments</v>
      </c>
      <c r="C22" s="941">
        <f>'Balance Sheet'!C14</f>
        <v>16827.100000000002</v>
      </c>
      <c r="D22" s="941">
        <f>'Balance Sheet'!D14</f>
        <v>19255.7</v>
      </c>
      <c r="E22" s="941">
        <f>'Balance Sheet'!E14</f>
        <v>23926.1</v>
      </c>
      <c r="F22" s="941">
        <f>'Balance Sheet'!F14</f>
        <v>29850.6</v>
      </c>
      <c r="G22" s="941">
        <f>'Balance Sheet'!G14</f>
        <v>32734.9</v>
      </c>
      <c r="H22" s="941">
        <f>'Balance Sheet'!H14</f>
        <v>35439</v>
      </c>
      <c r="I22" s="941">
        <f>'Balance Sheet'!I14</f>
        <v>38242</v>
      </c>
      <c r="J22" s="941">
        <f>'Balance Sheet'!J14</f>
        <v>36260</v>
      </c>
      <c r="K22" s="941">
        <f>'Balance Sheet'!K14</f>
        <v>40086</v>
      </c>
      <c r="L22" s="941">
        <f>'Balance Sheet'!L14</f>
        <v>40167</v>
      </c>
      <c r="M22" s="940" t="str">
        <f>B22</f>
        <v>Investments</v>
      </c>
    </row>
    <row r="23" spans="2:13" ht="31.25">
      <c r="B23" s="985" t="str">
        <f>'Balance Sheet'!B15</f>
        <v>Reinsurance Recoverable*</v>
      </c>
      <c r="C23" s="941">
        <f>'Balance Sheet'!C15</f>
        <v>4505.2</v>
      </c>
      <c r="D23" s="941">
        <f>'Balance Sheet'!D15</f>
        <v>4071.5</v>
      </c>
      <c r="E23" s="941">
        <f>'Balance Sheet'!E15</f>
        <v>3426.6</v>
      </c>
      <c r="F23" s="941">
        <f>'Balance Sheet'!F15</f>
        <v>3483.2</v>
      </c>
      <c r="G23" s="941">
        <f>'Balance Sheet'!G15</f>
        <v>3769.2</v>
      </c>
      <c r="H23" s="941">
        <f>'Balance Sheet'!H15</f>
        <v>2594</v>
      </c>
      <c r="I23" s="941">
        <f>'Balance Sheet'!I15</f>
        <v>2307</v>
      </c>
      <c r="J23" s="941">
        <f>'Balance Sheet'!J15</f>
        <v>2212</v>
      </c>
      <c r="K23" s="941">
        <f>'Balance Sheet'!K15</f>
        <v>2053</v>
      </c>
      <c r="L23" s="941">
        <f>'Balance Sheet'!L15</f>
        <v>1896</v>
      </c>
      <c r="M23" s="984" t="str">
        <f>B23</f>
        <v>Reinsurance Recoverable*</v>
      </c>
    </row>
    <row r="24" spans="2:13" ht="31.25">
      <c r="B24" s="985" t="str">
        <f>'Balance Sheet'!B16</f>
        <v>Investment Associated F.A.</v>
      </c>
      <c r="C24" s="941">
        <f>'Balance Sheet'!C16</f>
        <v>1698.0000000000002</v>
      </c>
      <c r="D24" s="941">
        <f>'Balance Sheet'!D16</f>
        <v>2419.8000000000002</v>
      </c>
      <c r="E24" s="941">
        <f>'Balance Sheet'!E16</f>
        <v>1822.6999999999998</v>
      </c>
      <c r="F24" s="941">
        <f>'Balance Sheet'!F16</f>
        <v>1170.4000000000001</v>
      </c>
      <c r="G24" s="941">
        <f>'Balance Sheet'!G16</f>
        <v>3095.2000000000003</v>
      </c>
      <c r="H24" s="941">
        <f>'Balance Sheet'!H16</f>
        <v>3232</v>
      </c>
      <c r="I24" s="941">
        <f>'Balance Sheet'!I16</f>
        <v>1687</v>
      </c>
      <c r="J24" s="941">
        <f>'Balance Sheet'!J16</f>
        <v>435</v>
      </c>
      <c r="K24" s="941">
        <f>'Balance Sheet'!K16</f>
        <v>460</v>
      </c>
      <c r="L24" s="941">
        <f>'Balance Sheet'!L16</f>
        <v>452</v>
      </c>
      <c r="M24" s="984" t="str">
        <f>B24</f>
        <v>Investment Associated F.A.</v>
      </c>
    </row>
    <row r="25" spans="2:13" ht="15.75">
      <c r="B25" s="944" t="str">
        <f>'Balance Sheet'!B17</f>
        <v>Other F.A.</v>
      </c>
      <c r="C25" s="941">
        <f>'Balance Sheet'!C17</f>
        <v>2411.7999999999997</v>
      </c>
      <c r="D25" s="941">
        <f>'Balance Sheet'!D17</f>
        <v>2727.2000000000003</v>
      </c>
      <c r="E25" s="941">
        <f>'Balance Sheet'!E17</f>
        <v>2843.2000000000003</v>
      </c>
      <c r="F25" s="941">
        <f>'Balance Sheet'!F17</f>
        <v>2763.9</v>
      </c>
      <c r="G25" s="941">
        <f>'Balance Sheet'!G17</f>
        <v>2778.9</v>
      </c>
      <c r="H25" s="941">
        <f>'Balance Sheet'!H17</f>
        <v>2892</v>
      </c>
      <c r="I25" s="941">
        <f>'Balance Sheet'!I17</f>
        <v>2857</v>
      </c>
      <c r="J25" s="941">
        <f>'Balance Sheet'!J17</f>
        <v>3516</v>
      </c>
      <c r="K25" s="941">
        <f>'Balance Sheet'!K17</f>
        <v>2580</v>
      </c>
      <c r="L25" s="941">
        <f>'Balance Sheet'!L17</f>
        <v>2349</v>
      </c>
      <c r="M25" s="940" t="str">
        <f>B25</f>
        <v>Other F.A.</v>
      </c>
    </row>
    <row r="26" spans="2:13" ht="15.75">
      <c r="B26" s="942" t="s">
        <v>788</v>
      </c>
      <c r="C26" s="943">
        <f t="shared" ref="C26:L26" si="4">SUM(C22:C25)</f>
        <v>25442.100000000002</v>
      </c>
      <c r="D26" s="943">
        <f t="shared" si="4"/>
        <v>28474.2</v>
      </c>
      <c r="E26" s="943">
        <f t="shared" si="4"/>
        <v>32018.6</v>
      </c>
      <c r="F26" s="943">
        <f t="shared" si="4"/>
        <v>37268.1</v>
      </c>
      <c r="G26" s="943">
        <f t="shared" si="4"/>
        <v>42378.2</v>
      </c>
      <c r="H26" s="943">
        <f t="shared" si="4"/>
        <v>44157</v>
      </c>
      <c r="I26" s="943">
        <f t="shared" si="4"/>
        <v>45093</v>
      </c>
      <c r="J26" s="943">
        <f t="shared" si="4"/>
        <v>42423</v>
      </c>
      <c r="K26" s="943">
        <f t="shared" si="4"/>
        <v>45179</v>
      </c>
      <c r="L26" s="943">
        <f t="shared" si="4"/>
        <v>44864</v>
      </c>
      <c r="M26" s="942" t="s">
        <v>788</v>
      </c>
    </row>
    <row r="27" spans="2:13" ht="15.75">
      <c r="B27" s="940"/>
      <c r="C27" s="978"/>
      <c r="D27" s="978"/>
      <c r="E27" s="978"/>
      <c r="F27" s="978"/>
      <c r="G27" s="978"/>
      <c r="H27" s="978"/>
      <c r="I27" s="978"/>
      <c r="J27" s="978"/>
      <c r="K27" s="978"/>
      <c r="L27" s="978"/>
      <c r="M27" s="940"/>
    </row>
    <row r="28" spans="2:13" ht="16.5" thickBot="1">
      <c r="B28" s="982" t="s">
        <v>820</v>
      </c>
      <c r="C28" s="983">
        <f t="shared" ref="C28:J28" si="5">C20+C26+C8</f>
        <v>8075.2999999999993</v>
      </c>
      <c r="D28" s="983">
        <f t="shared" si="5"/>
        <v>8784.8000000000029</v>
      </c>
      <c r="E28" s="983">
        <f t="shared" si="5"/>
        <v>11335.900000000001</v>
      </c>
      <c r="F28" s="983">
        <f t="shared" si="5"/>
        <v>12940.099999999999</v>
      </c>
      <c r="G28" s="983">
        <f t="shared" si="5"/>
        <v>14874.299999999996</v>
      </c>
      <c r="H28" s="983">
        <f t="shared" si="5"/>
        <v>16329</v>
      </c>
      <c r="I28" s="983">
        <f t="shared" si="5"/>
        <v>17905</v>
      </c>
      <c r="J28" s="983">
        <f t="shared" si="5"/>
        <v>17407</v>
      </c>
      <c r="K28" s="983">
        <f>K20+K26+K8</f>
        <v>19609</v>
      </c>
      <c r="L28" s="983">
        <f>L20+L26+L8</f>
        <v>19263</v>
      </c>
      <c r="M28" s="982" t="str">
        <f>B28</f>
        <v>Capital</v>
      </c>
    </row>
    <row r="29" spans="2:13" ht="16.5" thickTop="1">
      <c r="B29" s="981"/>
      <c r="C29" s="978"/>
      <c r="D29" s="978"/>
      <c r="E29" s="978"/>
      <c r="F29" s="978"/>
      <c r="G29" s="978"/>
      <c r="H29" s="978"/>
      <c r="I29" s="978"/>
      <c r="J29" s="978"/>
      <c r="K29" s="978"/>
      <c r="L29" s="978"/>
      <c r="M29" s="940"/>
    </row>
    <row r="30" spans="2:13" ht="15.75">
      <c r="B30" s="940" t="s">
        <v>670</v>
      </c>
      <c r="C30" s="941">
        <f>'Actual BS'!C62</f>
        <v>199</v>
      </c>
      <c r="D30" s="941">
        <f>'Actual BS'!D62</f>
        <v>0</v>
      </c>
      <c r="E30" s="941">
        <f>'Actual BS'!E62</f>
        <v>0</v>
      </c>
      <c r="F30" s="941">
        <f>'Actual BS'!F62</f>
        <v>0</v>
      </c>
      <c r="G30" s="941">
        <f>'Actual BS'!G62</f>
        <v>0</v>
      </c>
      <c r="H30" s="941">
        <f>'Actual BS'!H62</f>
        <v>0</v>
      </c>
      <c r="I30" s="941">
        <f>'Actual BS'!I62</f>
        <v>0</v>
      </c>
      <c r="J30" s="941">
        <f>'Actual BS'!J62</f>
        <v>0</v>
      </c>
      <c r="K30" s="941">
        <f>'Actual BS'!K62</f>
        <v>0</v>
      </c>
      <c r="L30" s="941">
        <f>'Actual BS'!L62</f>
        <v>-839</v>
      </c>
      <c r="M30" s="940" t="str">
        <f>B30</f>
        <v>S.T. Debt</v>
      </c>
    </row>
    <row r="31" spans="2:13" ht="15.75">
      <c r="B31" s="940"/>
      <c r="C31" s="978"/>
      <c r="D31" s="978"/>
      <c r="E31" s="978"/>
      <c r="F31" s="978"/>
      <c r="G31" s="978"/>
      <c r="H31" s="978"/>
      <c r="I31" s="978"/>
      <c r="J31" s="978"/>
      <c r="K31" s="978"/>
      <c r="L31" s="978"/>
      <c r="M31" s="940"/>
    </row>
    <row r="32" spans="2:13" ht="15.75">
      <c r="B32" s="944" t="s">
        <v>784</v>
      </c>
      <c r="C32" s="941">
        <f>'Balance Sheet'!C28</f>
        <v>1351</v>
      </c>
      <c r="D32" s="941">
        <f>'Balance Sheet'!D28</f>
        <v>1959.1</v>
      </c>
      <c r="E32" s="941">
        <f>'Balance Sheet'!E28</f>
        <v>2813.9</v>
      </c>
      <c r="F32" s="941">
        <f>'Balance Sheet'!F28</f>
        <v>2813.7</v>
      </c>
      <c r="G32" s="941">
        <f>'Balance Sheet'!G28</f>
        <v>2467.3000000000002</v>
      </c>
      <c r="H32" s="941">
        <f>'Balance Sheet'!H28</f>
        <v>2466</v>
      </c>
      <c r="I32" s="941">
        <f>'Balance Sheet'!I28</f>
        <v>3460</v>
      </c>
      <c r="J32" s="941">
        <f>'Balance Sheet'!J28</f>
        <v>3975</v>
      </c>
      <c r="K32" s="941">
        <f>'Balance Sheet'!K28</f>
        <v>3975</v>
      </c>
      <c r="L32" s="941">
        <f>'Balance Sheet'!L28</f>
        <v>3975</v>
      </c>
      <c r="M32" s="940" t="str">
        <f>B32</f>
        <v>L.T. Debt</v>
      </c>
    </row>
    <row r="33" spans="2:25" ht="15.75">
      <c r="B33" s="944" t="s">
        <v>692</v>
      </c>
      <c r="C33" s="941">
        <f>'Balance Sheet'!C29</f>
        <v>0</v>
      </c>
      <c r="D33" s="941">
        <f>'Balance Sheet'!D29</f>
        <v>0</v>
      </c>
      <c r="E33" s="941">
        <f>'Balance Sheet'!E29</f>
        <v>0</v>
      </c>
      <c r="F33" s="941">
        <f>'Balance Sheet'!F29</f>
        <v>0</v>
      </c>
      <c r="G33" s="941">
        <f>'Balance Sheet'!G29</f>
        <v>0</v>
      </c>
      <c r="H33" s="941">
        <f>'Balance Sheet'!H29</f>
        <v>0</v>
      </c>
      <c r="I33" s="941">
        <f>'Balance Sheet'!I29</f>
        <v>0</v>
      </c>
      <c r="J33" s="941">
        <f>'Balance Sheet'!J29</f>
        <v>0</v>
      </c>
      <c r="K33" s="941">
        <f>'Balance Sheet'!K29</f>
        <v>0</v>
      </c>
      <c r="L33" s="941">
        <f>'Balance Sheet'!L29</f>
        <v>148</v>
      </c>
      <c r="M33" s="940" t="str">
        <f>B33</f>
        <v>Other</v>
      </c>
    </row>
    <row r="34" spans="2:25" ht="15.75">
      <c r="B34" s="940" t="s">
        <v>782</v>
      </c>
      <c r="C34" s="941">
        <f t="shared" ref="C34:L34" si="6">C32+C33</f>
        <v>1351</v>
      </c>
      <c r="D34" s="941">
        <f t="shared" si="6"/>
        <v>1959.1</v>
      </c>
      <c r="E34" s="941">
        <f t="shared" si="6"/>
        <v>2813.9</v>
      </c>
      <c r="F34" s="941">
        <f t="shared" si="6"/>
        <v>2813.7</v>
      </c>
      <c r="G34" s="941">
        <f t="shared" si="6"/>
        <v>2467.3000000000002</v>
      </c>
      <c r="H34" s="941">
        <f t="shared" si="6"/>
        <v>2466</v>
      </c>
      <c r="I34" s="941">
        <f t="shared" si="6"/>
        <v>3460</v>
      </c>
      <c r="J34" s="941">
        <f t="shared" si="6"/>
        <v>3975</v>
      </c>
      <c r="K34" s="941">
        <f t="shared" si="6"/>
        <v>3975</v>
      </c>
      <c r="L34" s="941">
        <f t="shared" si="6"/>
        <v>4123</v>
      </c>
      <c r="M34" s="940" t="s">
        <v>782</v>
      </c>
    </row>
    <row r="35" spans="2:25" ht="15.75">
      <c r="B35" s="940"/>
      <c r="C35" s="978"/>
      <c r="D35" s="978"/>
      <c r="E35" s="978"/>
      <c r="F35" s="978"/>
      <c r="G35" s="978"/>
      <c r="H35" s="978"/>
      <c r="I35" s="978"/>
      <c r="J35" s="978"/>
      <c r="K35" s="978"/>
      <c r="L35" s="978"/>
      <c r="M35" s="940"/>
    </row>
    <row r="36" spans="2:25" ht="15.75">
      <c r="B36" s="942" t="s">
        <v>822</v>
      </c>
      <c r="C36" s="943">
        <f t="shared" ref="C36:L36" si="7">C34+C30</f>
        <v>1550</v>
      </c>
      <c r="D36" s="943">
        <f t="shared" si="7"/>
        <v>1959.1</v>
      </c>
      <c r="E36" s="943">
        <f t="shared" si="7"/>
        <v>2813.9</v>
      </c>
      <c r="F36" s="943">
        <f t="shared" si="7"/>
        <v>2813.7</v>
      </c>
      <c r="G36" s="943">
        <f t="shared" si="7"/>
        <v>2467.3000000000002</v>
      </c>
      <c r="H36" s="943">
        <f t="shared" si="7"/>
        <v>2466</v>
      </c>
      <c r="I36" s="943">
        <f t="shared" si="7"/>
        <v>3460</v>
      </c>
      <c r="J36" s="943">
        <f t="shared" si="7"/>
        <v>3975</v>
      </c>
      <c r="K36" s="943">
        <f t="shared" si="7"/>
        <v>3975</v>
      </c>
      <c r="L36" s="943">
        <f t="shared" si="7"/>
        <v>3284</v>
      </c>
      <c r="M36" s="942" t="s">
        <v>822</v>
      </c>
    </row>
    <row r="37" spans="2:25" ht="15.75">
      <c r="B37" s="981"/>
      <c r="C37" s="941"/>
      <c r="D37" s="941"/>
      <c r="E37" s="941"/>
      <c r="F37" s="941"/>
      <c r="G37" s="941"/>
      <c r="H37" s="941"/>
      <c r="I37" s="941"/>
      <c r="J37" s="941"/>
      <c r="K37" s="941"/>
      <c r="L37" s="980"/>
      <c r="M37" s="940"/>
    </row>
    <row r="38" spans="2:25" ht="15.75">
      <c r="B38" s="940" t="str">
        <f>'Balance Sheet'!B32</f>
        <v>Stk Equity</v>
      </c>
      <c r="C38" s="941">
        <f>'Balance Sheet'!C32</f>
        <v>6525.3</v>
      </c>
      <c r="D38" s="941">
        <f>'Balance Sheet'!D32</f>
        <v>6825.7</v>
      </c>
      <c r="E38" s="941">
        <f>'Balance Sheet'!E32</f>
        <v>8522</v>
      </c>
      <c r="F38" s="941">
        <f>'Balance Sheet'!F32</f>
        <v>10126.4</v>
      </c>
      <c r="G38" s="941">
        <f>'Balance Sheet'!G32</f>
        <v>12407</v>
      </c>
      <c r="H38" s="941">
        <f>'Balance Sheet'!H32</f>
        <v>13863</v>
      </c>
      <c r="I38" s="941">
        <f>'Balance Sheet'!I32</f>
        <v>14445</v>
      </c>
      <c r="J38" s="941">
        <f>'Balance Sheet'!J32</f>
        <v>13432</v>
      </c>
      <c r="K38" s="941">
        <f>'Balance Sheet'!K32</f>
        <v>15634</v>
      </c>
      <c r="L38" s="979">
        <f>'Balance Sheet'!L32</f>
        <v>15979</v>
      </c>
      <c r="M38" s="940" t="s">
        <v>821</v>
      </c>
    </row>
    <row r="39" spans="2:25" ht="18">
      <c r="B39" s="940"/>
      <c r="C39" s="978"/>
      <c r="D39" s="978"/>
      <c r="E39" s="978"/>
      <c r="F39" s="978"/>
      <c r="G39" s="978"/>
      <c r="H39" s="978"/>
      <c r="I39" s="978"/>
      <c r="J39" s="978"/>
      <c r="K39" s="978"/>
      <c r="L39" s="978"/>
      <c r="M39" s="940"/>
      <c r="O39" s="970"/>
      <c r="P39" s="970"/>
      <c r="Q39" s="970"/>
      <c r="R39" s="970"/>
      <c r="S39" s="970"/>
      <c r="T39" s="970"/>
      <c r="U39" s="970"/>
      <c r="V39" s="970"/>
      <c r="W39" s="970"/>
      <c r="X39" s="970"/>
      <c r="Y39" s="970"/>
    </row>
    <row r="40" spans="2:25" ht="18.75" thickBot="1">
      <c r="B40" s="976" t="s">
        <v>820</v>
      </c>
      <c r="C40" s="977">
        <f t="shared" ref="C40:L40" si="8">C36+C38</f>
        <v>8075.3</v>
      </c>
      <c r="D40" s="977">
        <f t="shared" si="8"/>
        <v>8784.7999999999993</v>
      </c>
      <c r="E40" s="977">
        <f t="shared" si="8"/>
        <v>11335.9</v>
      </c>
      <c r="F40" s="977">
        <f t="shared" si="8"/>
        <v>12940.099999999999</v>
      </c>
      <c r="G40" s="977">
        <f t="shared" si="8"/>
        <v>14874.3</v>
      </c>
      <c r="H40" s="977">
        <f t="shared" si="8"/>
        <v>16329</v>
      </c>
      <c r="I40" s="977">
        <f t="shared" si="8"/>
        <v>17905</v>
      </c>
      <c r="J40" s="977">
        <f t="shared" si="8"/>
        <v>17407</v>
      </c>
      <c r="K40" s="977">
        <f t="shared" si="8"/>
        <v>19609</v>
      </c>
      <c r="L40" s="977">
        <f t="shared" si="8"/>
        <v>19263</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775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907" t="s">
        <v>774</v>
      </c>
      <c r="C43" s="972"/>
      <c r="D43" s="972"/>
      <c r="E43" s="972"/>
      <c r="F43" s="972"/>
      <c r="G43" s="972"/>
      <c r="H43" s="972"/>
      <c r="I43" s="972"/>
      <c r="J43" s="972"/>
      <c r="K43" s="972"/>
      <c r="L43" s="972"/>
      <c r="M43" s="971"/>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4">
    <mergeCell ref="B3:M3"/>
    <mergeCell ref="B5:M5"/>
    <mergeCell ref="B4:M4"/>
    <mergeCell ref="B42:M42"/>
  </mergeCells>
  <printOptions horizontalCentered="1"/>
  <pageMargins left="0.25" right="0.25" top="0.5" bottom="0.5" header="0.5" footer="0.5"/>
  <pageSetup scale="95" orientation="landscape" r:id="rId2"/>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826</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IF(Capital!$C8&gt;0,100*Capital!C8/Capital!$C8,"n.a.")</f>
        <v>n.a.</v>
      </c>
      <c r="D8" s="999" t="str">
        <f>IF(Capital!$C8&gt;0,100*Capital!D8/Capital!$C8,"n.a.")</f>
        <v>n.a.</v>
      </c>
      <c r="E8" s="999" t="str">
        <f>IF(Capital!$C8&gt;0,100*Capital!E8/Capital!$C8,"n.a.")</f>
        <v>n.a.</v>
      </c>
      <c r="F8" s="999" t="str">
        <f>IF(Capital!$C8&gt;0,100*Capital!F8/Capital!$C8,"n.a.")</f>
        <v>n.a.</v>
      </c>
      <c r="G8" s="999" t="str">
        <f>IF(Capital!$C8&gt;0,100*Capital!G8/Capital!$C8,"n.a.")</f>
        <v>n.a.</v>
      </c>
      <c r="H8" s="999" t="str">
        <f>IF(Capital!$C8&gt;0,100*Capital!H8/Capital!$C8,"n.a.")</f>
        <v>n.a.</v>
      </c>
      <c r="I8" s="999" t="str">
        <f>IF(Capital!$C8&gt;0,100*Capital!I8/Capital!$C8,"n.a.")</f>
        <v>n.a.</v>
      </c>
      <c r="J8" s="999" t="str">
        <f>IF(Capital!$C8&gt;0,100*Capital!J8/Capital!$C8,"n.a.")</f>
        <v>n.a.</v>
      </c>
      <c r="K8" s="999" t="str">
        <f>IF(Capital!$C8&gt;0,100*Capital!K8/Capital!$C8,"n.a.")</f>
        <v>n.a.</v>
      </c>
      <c r="L8" s="999" t="str">
        <f>IF(Capital!$C8&gt;0,100*Capital!L8/Capital!$C8,"n.a.")</f>
        <v>n.a.</v>
      </c>
      <c r="M8" s="995" t="str">
        <f>B8</f>
        <v>Excess Cash</v>
      </c>
      <c r="N8" s="952"/>
    </row>
    <row r="9" spans="2:14" ht="15.75">
      <c r="B9" s="994">
        <v>0.02</v>
      </c>
      <c r="C9" s="999"/>
      <c r="D9" s="999"/>
      <c r="E9" s="999"/>
      <c r="F9" s="999"/>
      <c r="G9" s="999"/>
      <c r="H9" s="999"/>
      <c r="I9" s="999"/>
      <c r="J9" s="999"/>
      <c r="K9" s="999"/>
      <c r="L9" s="999"/>
      <c r="M9" s="940"/>
      <c r="N9" s="952"/>
    </row>
    <row r="10" spans="2:14" ht="15.75">
      <c r="B10" s="993" t="str">
        <f>'Balance Sheet'!B8</f>
        <v>S/T Investments</v>
      </c>
      <c r="C10" s="1005">
        <f>IF(Capital!$C10&gt;0,100*Capital!C10/Capital!$C10,"n.a.")</f>
        <v>100</v>
      </c>
      <c r="D10" s="1005">
        <f>IF(Capital!$C10&gt;0,100*Capital!D10/Capital!$C10,"n.a.")</f>
        <v>183.60158862876256</v>
      </c>
      <c r="E10" s="1005">
        <f>IF(Capital!$C10&gt;0,100*Capital!E10/Capital!$C10,"n.a.")</f>
        <v>281.76212374581939</v>
      </c>
      <c r="F10" s="1005">
        <f>IF(Capital!$C10&gt;0,100*Capital!F10/Capital!$C10,"n.a.")</f>
        <v>136.65342809364549</v>
      </c>
      <c r="G10" s="1005">
        <f>IF(Capital!$C10&gt;0,100*Capital!G10/Capital!$C10,"n.a.")</f>
        <v>198.42182274247492</v>
      </c>
      <c r="H10" s="1005">
        <f>IF(Capital!$C10&gt;0,100*Capital!H10/Capital!$C10,"n.a.")</f>
        <v>235.57692307692309</v>
      </c>
      <c r="I10" s="1005">
        <f>IF(Capital!$C10&gt;0,100*Capital!I10/Capital!$C10,"n.a.")</f>
        <v>192.20317725752508</v>
      </c>
      <c r="J10" s="1005">
        <f>IF(Capital!$C10&gt;0,100*Capital!J10/Capital!$C10,"n.a.")</f>
        <v>258.98829431438128</v>
      </c>
      <c r="K10" s="1005">
        <f>IF(Capital!$C10&gt;0,100*Capital!K10/Capital!$C10,"n.a.")</f>
        <v>200.45986622073579</v>
      </c>
      <c r="L10" s="1005">
        <f>IF(Capital!$C10&gt;0,100*Capital!L10/Capital!$C10,"n.a.")</f>
        <v>213.83779264214047</v>
      </c>
      <c r="M10" s="990" t="str">
        <f>B10</f>
        <v>S/T Investments</v>
      </c>
    </row>
    <row r="11" spans="2:14" ht="15.75">
      <c r="B11" s="944" t="str">
        <f>'Balance Sheet'!B9</f>
        <v>Cash</v>
      </c>
      <c r="C11" s="999">
        <f>IF(Capital!$C11&gt;0,100*Capital!C11/Capital!$C11,"n.a.")</f>
        <v>100</v>
      </c>
      <c r="D11" s="999">
        <f>IF(Capital!$C11&gt;0,100*Capital!D11/Capital!$C11,"n.a.")</f>
        <v>162.40310077519379</v>
      </c>
      <c r="E11" s="999">
        <f>IF(Capital!$C11&gt;0,100*Capital!E11/Capital!$C11,"n.a.")</f>
        <v>202.32558139534882</v>
      </c>
      <c r="F11" s="999">
        <f>IF(Capital!$C11&gt;0,100*Capital!F11/Capital!$C11,"n.a.")</f>
        <v>161.62790697674419</v>
      </c>
      <c r="G11" s="999">
        <f>IF(Capital!$C11&gt;0,100*Capital!G11/Capital!$C11,"n.a.")</f>
        <v>137.98449612403101</v>
      </c>
      <c r="H11" s="999">
        <f>IF(Capital!$C11&gt;0,100*Capital!H11/Capital!$C11,"n.a.")</f>
        <v>147.28682170542635</v>
      </c>
      <c r="I11" s="999">
        <f>IF(Capital!$C11&gt;0,100*Capital!I11/Capital!$C11,"n.a.")</f>
        <v>189.92248062015503</v>
      </c>
      <c r="J11" s="999">
        <f>IF(Capital!$C11&gt;0,100*Capital!J11/Capital!$C11,"n.a.")</f>
        <v>217.05426356589146</v>
      </c>
      <c r="K11" s="999">
        <f>IF(Capital!$C11&gt;0,100*Capital!K11/Capital!$C11,"n.a.")</f>
        <v>197.67441860465115</v>
      </c>
      <c r="L11" s="999">
        <f>IF(Capital!$C11&gt;0,100*Capital!L11/Capital!$C11,"n.a.")</f>
        <v>298.44961240310079</v>
      </c>
      <c r="M11" s="940" t="str">
        <f>B11</f>
        <v>Cash</v>
      </c>
    </row>
    <row r="12" spans="2:14" ht="15.75">
      <c r="B12" s="944" t="str">
        <f>'Balance Sheet'!B10</f>
        <v>Premiums Receivable</v>
      </c>
      <c r="C12" s="999">
        <f>IF(Capital!$C12&gt;0,100*Capital!C12/Capital!$C12,"n.a.")</f>
        <v>100</v>
      </c>
      <c r="D12" s="999">
        <f>IF(Capital!$C12&gt;0,100*Capital!D12/Capital!$C12,"n.a.")</f>
        <v>120.54584120982987</v>
      </c>
      <c r="E12" s="999">
        <f>IF(Capital!$C12&gt;0,100*Capital!E12/Capital!$C12,"n.a.")</f>
        <v>129.25330812854443</v>
      </c>
      <c r="F12" s="999">
        <f>IF(Capital!$C12&gt;0,100*Capital!F12/Capital!$C12,"n.a.")</f>
        <v>138.01984877126654</v>
      </c>
      <c r="G12" s="999">
        <f>IF(Capital!$C12&gt;0,100*Capital!G12/Capital!$C12,"n.a.")</f>
        <v>137.00378071833646</v>
      </c>
      <c r="H12" s="999">
        <f>IF(Capital!$C12&gt;0,100*Capital!H12/Capital!$C12,"n.a.")</f>
        <v>136.69659735349717</v>
      </c>
      <c r="I12" s="999">
        <f>IF(Capital!$C12&gt;0,100*Capital!I12/Capital!$C12,"n.a.")</f>
        <v>131.55718336483932</v>
      </c>
      <c r="J12" s="999">
        <f>IF(Capital!$C12&gt;0,100*Capital!J12/Capital!$C12,"n.a.")</f>
        <v>130.02126654064273</v>
      </c>
      <c r="K12" s="999">
        <f>IF(Capital!$C12&gt;0,100*Capital!K12/Capital!$C12,"n.a.")</f>
        <v>124.11389413988658</v>
      </c>
      <c r="L12" s="999">
        <f>IF(Capital!$C12&gt;0,100*Capital!L12/Capital!$C12,"n.a.")</f>
        <v>116.61153119092629</v>
      </c>
      <c r="M12" s="940" t="str">
        <f>B12</f>
        <v>Premiums Receivable</v>
      </c>
    </row>
    <row r="13" spans="2:14" ht="15.75">
      <c r="B13" s="944" t="str">
        <f>'Balance Sheet'!B11</f>
        <v>Other Assets</v>
      </c>
      <c r="C13" s="998">
        <f>IF(Capital!$C13&gt;0,100*Capital!C13/Capital!$C13,"n.a.")</f>
        <v>100</v>
      </c>
      <c r="D13" s="998">
        <f>IF(Capital!$C13&gt;0,100*Capital!D13/Capital!$C13,"n.a.")</f>
        <v>132.74502440856176</v>
      </c>
      <c r="E13" s="998">
        <f>IF(Capital!$C13&gt;0,100*Capital!E13/Capital!$C13,"n.a.")</f>
        <v>105.58768306421329</v>
      </c>
      <c r="F13" s="998">
        <f>IF(Capital!$C13&gt;0,100*Capital!F13/Capital!$C13,"n.a.")</f>
        <v>248.33646263612471</v>
      </c>
      <c r="G13" s="998">
        <f>IF(Capital!$C13&gt;0,100*Capital!G13/Capital!$C13,"n.a.")</f>
        <v>107.33758918512956</v>
      </c>
      <c r="H13" s="998">
        <f>IF(Capital!$C13&gt;0,100*Capital!H13/Capital!$C13,"n.a.")</f>
        <v>113.70634622606083</v>
      </c>
      <c r="I13" s="998">
        <f>IF(Capital!$C13&gt;0,100*Capital!I13/Capital!$C13,"n.a.")</f>
        <v>102.59106271122793</v>
      </c>
      <c r="J13" s="998">
        <f>IF(Capital!$C13&gt;0,100*Capital!J13/Capital!$C13,"n.a.")</f>
        <v>95.456252346977095</v>
      </c>
      <c r="K13" s="998">
        <f>IF(Capital!$C13&gt;0,100*Capital!K13/Capital!$C13,"n.a.")</f>
        <v>90.123920390536995</v>
      </c>
      <c r="L13" s="998">
        <f>IF(Capital!$C13&gt;0,100*Capital!L13/Capital!$C13,"n.a.")</f>
        <v>96.282388283890356</v>
      </c>
      <c r="M13" s="940" t="str">
        <f>B13</f>
        <v>Other Assets</v>
      </c>
    </row>
    <row r="14" spans="2:14" ht="15.75">
      <c r="B14" s="942" t="s">
        <v>792</v>
      </c>
      <c r="C14" s="1001">
        <f>IF(Capital!$C14&gt;0,100*Capital!C14/Capital!$C14,"n.a.")</f>
        <v>100</v>
      </c>
      <c r="D14" s="1001">
        <f>IF(Capital!$C14&gt;0,100*Capital!D14/Capital!$C14,"n.a.")</f>
        <v>139.92612743018296</v>
      </c>
      <c r="E14" s="1001">
        <f>IF(Capital!$C14&gt;0,100*Capital!E14/Capital!$C14,"n.a.")</f>
        <v>158.27697222291548</v>
      </c>
      <c r="F14" s="1001">
        <f>IF(Capital!$C14&gt;0,100*Capital!F14/Capital!$C14,"n.a.")</f>
        <v>174.50398063340742</v>
      </c>
      <c r="G14" s="1001">
        <f>IF(Capital!$C14&gt;0,100*Capital!G14/Capital!$C14,"n.a.")</f>
        <v>141.81786418428209</v>
      </c>
      <c r="H14" s="1001">
        <f>IF(Capital!$C14&gt;0,100*Capital!H14/Capital!$C14,"n.a.")</f>
        <v>152.73652948663556</v>
      </c>
      <c r="I14" s="1001">
        <f>IF(Capital!$C14&gt;0,100*Capital!I14/Capital!$C14,"n.a.")</f>
        <v>136.78903890788391</v>
      </c>
      <c r="J14" s="1001">
        <f>IF(Capital!$C14&gt;0,100*Capital!J14/Capital!$C14,"n.a.")</f>
        <v>149.89143727070805</v>
      </c>
      <c r="K14" s="1001">
        <f>IF(Capital!$C14&gt;0,100*Capital!K14/Capital!$C14,"n.a.")</f>
        <v>131.52312261349175</v>
      </c>
      <c r="L14" s="1001">
        <f>IF(Capital!$C14&gt;0,100*Capital!L14/Capital!$C14,"n.a.")</f>
        <v>134.24343008310666</v>
      </c>
      <c r="M14" s="942" t="str">
        <f>B14</f>
        <v>Total C.A.</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IF(Capital!$C16&gt;0,100*Capital!C16/Capital!$C16,"n.a.")</f>
        <v>100</v>
      </c>
      <c r="D16" s="999">
        <f>IF(Capital!$C16&gt;0,100*Capital!D16/Capital!$C16,"n.a.")</f>
        <v>107.72289863292704</v>
      </c>
      <c r="E16" s="999">
        <f>IF(Capital!$C16&gt;0,100*Capital!E16/Capital!$C16,"n.a.")</f>
        <v>115.68105498585231</v>
      </c>
      <c r="F16" s="999">
        <f>IF(Capital!$C16&gt;0,100*Capital!F16/Capital!$C16,"n.a.")</f>
        <v>130.78975694332547</v>
      </c>
      <c r="G16" s="999">
        <f>IF(Capital!$C16&gt;0,100*Capital!G16/Capital!$C16,"n.a.")</f>
        <v>144.90393105981991</v>
      </c>
      <c r="H16" s="999">
        <f>IF(Capital!$C16&gt;0,100*Capital!H16/Capital!$C16,"n.a.")</f>
        <v>143.68768087451417</v>
      </c>
      <c r="I16" s="999">
        <f>IF(Capital!$C16&gt;0,100*Capital!I16/Capital!$C16,"n.a.")</f>
        <v>145.81466847997731</v>
      </c>
      <c r="J16" s="999">
        <f>IF(Capital!$C16&gt;0,100*Capital!J16/Capital!$C16,"n.a.")</f>
        <v>144.16464173149683</v>
      </c>
      <c r="K16" s="999">
        <f>IF(Capital!$C16&gt;0,100*Capital!K16/Capital!$C16,"n.a.")</f>
        <v>147.20687854900774</v>
      </c>
      <c r="L16" s="999">
        <f>IF(Capital!$C16&gt;0,100*Capital!L16/Capital!$C16,"n.a.")</f>
        <v>146.66546352216258</v>
      </c>
      <c r="M16" s="940" t="str">
        <f>B16</f>
        <v>Unpaid Losses and Loss Expenses</v>
      </c>
    </row>
    <row r="17" spans="2:13" ht="15.75">
      <c r="B17" s="944" t="s">
        <v>692</v>
      </c>
      <c r="C17" s="999">
        <f>IF(Capital!$C17&gt;0,100*Capital!C17/Capital!$C17,"n.a.")</f>
        <v>100</v>
      </c>
      <c r="D17" s="999">
        <f>IF(Capital!$C17&gt;0,100*Capital!D17/Capital!$C17,"n.a.")</f>
        <v>146.49757629548714</v>
      </c>
      <c r="E17" s="999">
        <f>IF(Capital!$C17&gt;0,100*Capital!E17/Capital!$C17,"n.a.")</f>
        <v>154.9276302314467</v>
      </c>
      <c r="F17" s="999">
        <f>IF(Capital!$C17&gt;0,100*Capital!F17/Capital!$C17,"n.a.")</f>
        <v>188.23479210759882</v>
      </c>
      <c r="G17" s="999">
        <f>IF(Capital!$C17&gt;0,100*Capital!G17/Capital!$C17,"n.a.")</f>
        <v>182.71147675291868</v>
      </c>
      <c r="H17" s="999">
        <f>IF(Capital!$C17&gt;0,100*Capital!H17/Capital!$C17,"n.a.")</f>
        <v>198.93152181334062</v>
      </c>
      <c r="I17" s="999">
        <f>IF(Capital!$C17&gt;0,100*Capital!I17/Capital!$C17,"n.a.")</f>
        <v>171.46856011469924</v>
      </c>
      <c r="J17" s="999">
        <f>IF(Capital!$C17&gt;0,100*Capital!J17/Capital!$C17,"n.a.")</f>
        <v>147.72649689356183</v>
      </c>
      <c r="K17" s="999">
        <f>IF(Capital!$C17&gt;0,100*Capital!K17/Capital!$C17,"n.a.")</f>
        <v>136.56380146105005</v>
      </c>
      <c r="L17" s="999">
        <f>IF(Capital!$C17&gt;0,100*Capital!L17/Capital!$C17,"n.a.")</f>
        <v>140.38710998839352</v>
      </c>
      <c r="M17" s="940" t="str">
        <f>B17</f>
        <v>Other</v>
      </c>
    </row>
    <row r="18" spans="2:13" ht="15.75">
      <c r="B18" s="942" t="s">
        <v>785</v>
      </c>
      <c r="C18" s="1001">
        <f>IF(Capital!$C18&gt;0,100*Capital!C18/Capital!$C18,"n.a.")</f>
        <v>100</v>
      </c>
      <c r="D18" s="1001">
        <f>IF(Capital!$C18&gt;0,100*Capital!D18/Capital!$C18,"n.a.")</f>
        <v>118.35152547289425</v>
      </c>
      <c r="E18" s="1001">
        <f>IF(Capital!$C18&gt;0,100*Capital!E18/Capital!$C18,"n.a.")</f>
        <v>126.43903488867157</v>
      </c>
      <c r="F18" s="1001">
        <f>IF(Capital!$C18&gt;0,100*Capital!F18/Capital!$C18,"n.a.")</f>
        <v>146.53616360293256</v>
      </c>
      <c r="G18" s="1001">
        <f>IF(Capital!$C18&gt;0,100*Capital!G18/Capital!$C18,"n.a.")</f>
        <v>155.26745486275189</v>
      </c>
      <c r="H18" s="1001">
        <f>IF(Capital!$C18&gt;0,100*Capital!H18/Capital!$C18,"n.a.")</f>
        <v>158.83071251117028</v>
      </c>
      <c r="I18" s="1001">
        <f>IF(Capital!$C18&gt;0,100*Capital!I18/Capital!$C18,"n.a.")</f>
        <v>152.84672284162312</v>
      </c>
      <c r="J18" s="1001">
        <f>IF(Capital!$C18&gt;0,100*Capital!J18/Capital!$C18,"n.a.")</f>
        <v>145.14099103103345</v>
      </c>
      <c r="K18" s="1001">
        <f>IF(Capital!$C18&gt;0,100*Capital!K18/Capital!$C18,"n.a.")</f>
        <v>144.289477254757</v>
      </c>
      <c r="L18" s="1001">
        <f>IF(Capital!$C18&gt;0,100*Capital!L18/Capital!$C18,"n.a.")</f>
        <v>144.94448785189275</v>
      </c>
      <c r="M18" s="942" t="str">
        <f>B18</f>
        <v>Total C.L.</v>
      </c>
    </row>
    <row r="19" spans="2:13" ht="15.75">
      <c r="B19" s="981"/>
      <c r="C19" s="998"/>
      <c r="D19" s="998"/>
      <c r="E19" s="998"/>
      <c r="F19" s="998"/>
      <c r="G19" s="998"/>
      <c r="H19" s="998"/>
      <c r="I19" s="998"/>
      <c r="J19" s="998"/>
      <c r="K19" s="998"/>
      <c r="L19" s="998"/>
      <c r="M19" s="940"/>
    </row>
    <row r="20" spans="2:13" ht="15" customHeight="1">
      <c r="B20" s="987" t="s">
        <v>823</v>
      </c>
      <c r="C20" s="1004" t="str">
        <f>IF(Capital!$C20&gt;0,100*Capital!C20/Capital!$C20,"n.a.")</f>
        <v>n.a.</v>
      </c>
      <c r="D20" s="1004" t="str">
        <f>IF(Capital!$C20&gt;0,100*Capital!D20/Capital!$C20,"n.a.")</f>
        <v>n.a.</v>
      </c>
      <c r="E20" s="1004" t="str">
        <f>IF(Capital!$C20&gt;0,100*Capital!E20/Capital!$C20,"n.a.")</f>
        <v>n.a.</v>
      </c>
      <c r="F20" s="1004" t="str">
        <f>IF(Capital!$C20&gt;0,100*Capital!F20/Capital!$C20,"n.a.")</f>
        <v>n.a.</v>
      </c>
      <c r="G20" s="1004" t="str">
        <f>IF(Capital!$C20&gt;0,100*Capital!G20/Capital!$C20,"n.a.")</f>
        <v>n.a.</v>
      </c>
      <c r="H20" s="1004" t="str">
        <f>IF(Capital!$C20&gt;0,100*Capital!H20/Capital!$C20,"n.a.")</f>
        <v>n.a.</v>
      </c>
      <c r="I20" s="1004" t="str">
        <f>IF(Capital!$C20&gt;0,100*Capital!I20/Capital!$C20,"n.a.")</f>
        <v>n.a.</v>
      </c>
      <c r="J20" s="1004" t="str">
        <f>IF(Capital!$C20&gt;0,100*Capital!J20/Capital!$C20,"n.a.")</f>
        <v>n.a.</v>
      </c>
      <c r="K20" s="1004" t="str">
        <f>IF(Capital!$C20&gt;0,100*Capital!K20/Capital!$C20,"n.a.")</f>
        <v>n.a.</v>
      </c>
      <c r="L20" s="1004" t="str">
        <f>IF(Capital!$C20&gt;0,100*Capital!L20/Capital!$C20,"n.a.")</f>
        <v>n.a.</v>
      </c>
      <c r="M20" s="987" t="str">
        <f>B20</f>
        <v>Working Cap</v>
      </c>
    </row>
    <row r="21" spans="2:13" ht="15.75">
      <c r="B21" s="940"/>
      <c r="C21" s="998"/>
      <c r="D21" s="998"/>
      <c r="E21" s="998"/>
      <c r="F21" s="998"/>
      <c r="G21" s="998"/>
      <c r="H21" s="998"/>
      <c r="I21" s="998"/>
      <c r="J21" s="998"/>
      <c r="K21" s="998"/>
      <c r="L21" s="998"/>
      <c r="M21" s="940"/>
    </row>
    <row r="22" spans="2:13" ht="15" customHeight="1">
      <c r="B22" s="944" t="str">
        <f>'Balance Sheet'!B14</f>
        <v>Investments</v>
      </c>
      <c r="C22" s="999">
        <f>IF(Capital!$C22&gt;0,100*Capital!C22/Capital!$C22,"n.a.")</f>
        <v>100</v>
      </c>
      <c r="D22" s="999">
        <f>IF(Capital!$C22&gt;0,100*Capital!D22/Capital!$C22,"n.a.")</f>
        <v>114.4326711079152</v>
      </c>
      <c r="E22" s="999">
        <f>IF(Capital!$C22&gt;0,100*Capital!E22/Capital!$C22,"n.a.")</f>
        <v>142.18789928151611</v>
      </c>
      <c r="F22" s="999">
        <f>IF(Capital!$C22&gt;0,100*Capital!F22/Capital!$C22,"n.a.")</f>
        <v>177.39598623648754</v>
      </c>
      <c r="G22" s="999">
        <f>IF(Capital!$C22&gt;0,100*Capital!G22/Capital!$C22,"n.a.")</f>
        <v>194.53678887033414</v>
      </c>
      <c r="H22" s="999">
        <f>IF(Capital!$C22&gt;0,100*Capital!H22/Capital!$C22,"n.a.")</f>
        <v>210.60669990669808</v>
      </c>
      <c r="I22" s="999">
        <f>IF(Capital!$C22&gt;0,100*Capital!I22/Capital!$C22,"n.a.")</f>
        <v>227.26435333479918</v>
      </c>
      <c r="J22" s="999">
        <f>IF(Capital!$C22&gt;0,100*Capital!J22/Capital!$C22,"n.a.")</f>
        <v>215.48573432142197</v>
      </c>
      <c r="K22" s="999">
        <f>IF(Capital!$C22&gt;0,100*Capital!K22/Capital!$C22,"n.a.")</f>
        <v>238.22286668528739</v>
      </c>
      <c r="L22" s="999">
        <f>IF(Capital!$C22&gt;0,100*Capital!L22/Capital!$C22,"n.a.")</f>
        <v>238.70423305263529</v>
      </c>
      <c r="M22" s="940" t="str">
        <f>B22</f>
        <v>Investments</v>
      </c>
    </row>
    <row r="23" spans="2:13" ht="15" customHeight="1">
      <c r="B23" s="944" t="str">
        <f>'Balance Sheet'!B15</f>
        <v>Reinsurance Recoverable*</v>
      </c>
      <c r="C23" s="1003">
        <f>IF(Capital!$C23&gt;0,100*Capital!C23/Capital!$C23,"n.a.")</f>
        <v>100</v>
      </c>
      <c r="D23" s="1003">
        <f>IF(Capital!$C23&gt;0,100*Capital!D23/Capital!$C23,"n.a.")</f>
        <v>90.373346355322738</v>
      </c>
      <c r="E23" s="1003">
        <f>IF(Capital!$C23&gt;0,100*Capital!E23/Capital!$C23,"n.a.")</f>
        <v>76.058776524904559</v>
      </c>
      <c r="F23" s="1003">
        <f>IF(Capital!$C23&gt;0,100*Capital!F23/Capital!$C23,"n.a.")</f>
        <v>77.315102548166564</v>
      </c>
      <c r="G23" s="1003">
        <f>IF(Capital!$C23&gt;0,100*Capital!G23/Capital!$C23,"n.a.")</f>
        <v>83.663322383024067</v>
      </c>
      <c r="H23" s="1003">
        <f>IF(Capital!$C23&gt;0,100*Capital!H23/Capital!$C23,"n.a.")</f>
        <v>57.577909970700524</v>
      </c>
      <c r="I23" s="1003">
        <f>IF(Capital!$C23&gt;0,100*Capital!I23/Capital!$C23,"n.a.")</f>
        <v>51.207493562993875</v>
      </c>
      <c r="J23" s="1003">
        <f>IF(Capital!$C23&gt;0,100*Capital!J23/Capital!$C23,"n.a.")</f>
        <v>49.09881914232443</v>
      </c>
      <c r="K23" s="1003">
        <f>IF(Capital!$C23&gt;0,100*Capital!K23/Capital!$C23,"n.a.")</f>
        <v>45.569564059309243</v>
      </c>
      <c r="L23" s="1003">
        <f>IF(Capital!$C23&gt;0,100*Capital!L23/Capital!$C23,"n.a.")</f>
        <v>42.084702121992365</v>
      </c>
      <c r="M23" s="940" t="str">
        <f>B23</f>
        <v>Reinsurance Recoverable*</v>
      </c>
    </row>
    <row r="24" spans="2:13" ht="15" customHeight="1">
      <c r="B24" s="944" t="str">
        <f>'Balance Sheet'!B16</f>
        <v>Investment Associated F.A.</v>
      </c>
      <c r="C24" s="1003">
        <f>IF(Capital!$C24&gt;0,100*Capital!C24/Capital!$C24,"n.a.")</f>
        <v>100</v>
      </c>
      <c r="D24" s="1003">
        <f>IF(Capital!$C24&gt;0,100*Capital!D24/Capital!$C24,"n.a.")</f>
        <v>142.50883392226149</v>
      </c>
      <c r="E24" s="1003">
        <f>IF(Capital!$C24&gt;0,100*Capital!E24/Capital!$C24,"n.a.")</f>
        <v>107.34393404004709</v>
      </c>
      <c r="F24" s="1003">
        <f>IF(Capital!$C24&gt;0,100*Capital!F24/Capital!$C24,"n.a.")</f>
        <v>68.928150765606588</v>
      </c>
      <c r="G24" s="1003">
        <f>IF(Capital!$C24&gt;0,100*Capital!G24/Capital!$C24,"n.a.")</f>
        <v>182.28504122497054</v>
      </c>
      <c r="H24" s="1003">
        <f>IF(Capital!$C24&gt;0,100*Capital!H24/Capital!$C24,"n.a.")</f>
        <v>190.34157832744404</v>
      </c>
      <c r="I24" s="1003">
        <f>IF(Capital!$C24&gt;0,100*Capital!I24/Capital!$C24,"n.a.")</f>
        <v>99.352179034157814</v>
      </c>
      <c r="J24" s="1003">
        <f>IF(Capital!$C24&gt;0,100*Capital!J24/Capital!$C24,"n.a.")</f>
        <v>25.618374558303884</v>
      </c>
      <c r="K24" s="1003">
        <f>IF(Capital!$C24&gt;0,100*Capital!K24/Capital!$C24,"n.a.")</f>
        <v>27.090694935217901</v>
      </c>
      <c r="L24" s="1003">
        <f>IF(Capital!$C24&gt;0,100*Capital!L24/Capital!$C24,"n.a.")</f>
        <v>26.619552414605415</v>
      </c>
      <c r="M24" s="940" t="str">
        <f>B24</f>
        <v>Investment Associated F.A.</v>
      </c>
    </row>
    <row r="25" spans="2:13" ht="15.75">
      <c r="B25" s="944" t="str">
        <f>'Balance Sheet'!B17</f>
        <v>Other F.A.</v>
      </c>
      <c r="C25" s="999">
        <f>IF(Capital!$C25&gt;0,100*Capital!C25/Capital!$C25,"n.a.")</f>
        <v>100</v>
      </c>
      <c r="D25" s="999">
        <f>IF(Capital!$C25&gt;0,100*Capital!D25/Capital!$C25,"n.a.")</f>
        <v>113.07736959946929</v>
      </c>
      <c r="E25" s="999">
        <f>IF(Capital!$C25&gt;0,100*Capital!E25/Capital!$C25,"n.a.")</f>
        <v>117.88705531138569</v>
      </c>
      <c r="F25" s="999">
        <f>IF(Capital!$C25&gt;0,100*Capital!F25/Capital!$C25,"n.a.")</f>
        <v>114.59905464798078</v>
      </c>
      <c r="G25" s="999">
        <f>IF(Capital!$C25&gt;0,100*Capital!G25/Capital!$C25,"n.a.")</f>
        <v>115.22099676590101</v>
      </c>
      <c r="H25" s="999">
        <f>IF(Capital!$C25&gt;0,100*Capital!H25/Capital!$C25,"n.a.")</f>
        <v>119.9104403350195</v>
      </c>
      <c r="I25" s="999">
        <f>IF(Capital!$C25&gt;0,100*Capital!I25/Capital!$C25,"n.a.")</f>
        <v>118.45924205987231</v>
      </c>
      <c r="J25" s="999">
        <f>IF(Capital!$C25&gt;0,100*Capital!J25/Capital!$C25,"n.a.")</f>
        <v>145.78323244050088</v>
      </c>
      <c r="K25" s="999">
        <f>IF(Capital!$C25&gt;0,100*Capital!K25/Capital!$C25,"n.a.")</f>
        <v>106.97404428227881</v>
      </c>
      <c r="L25" s="999">
        <f>IF(Capital!$C25&gt;0,100*Capital!L25/Capital!$C25,"n.a.")</f>
        <v>97.39613566630733</v>
      </c>
      <c r="M25" s="940" t="str">
        <f>B25</f>
        <v>Other F.A.</v>
      </c>
    </row>
    <row r="26" spans="2:13" ht="15.75">
      <c r="B26" s="942" t="s">
        <v>788</v>
      </c>
      <c r="C26" s="1001">
        <f>IF(Capital!$C26&gt;0,100*Capital!C26/Capital!$C26,"n.a.")</f>
        <v>99.999999999999986</v>
      </c>
      <c r="D26" s="1001">
        <f>IF(Capital!$C26&gt;0,100*Capital!D26/Capital!$C26,"n.a.")</f>
        <v>111.91764830733311</v>
      </c>
      <c r="E26" s="1001">
        <f>IF(Capital!$C26&gt;0,100*Capital!E26/Capital!$C26,"n.a.")</f>
        <v>125.84888826000997</v>
      </c>
      <c r="F26" s="1001">
        <f>IF(Capital!$C26&gt;0,100*Capital!F26/Capital!$C26,"n.a.")</f>
        <v>146.48201209805794</v>
      </c>
      <c r="G26" s="1001">
        <f>IF(Capital!$C26&gt;0,100*Capital!G26/Capital!$C26,"n.a.")</f>
        <v>166.56722518974453</v>
      </c>
      <c r="H26" s="1001">
        <f>IF(Capital!$C26&gt;0,100*Capital!H26/Capital!$C26,"n.a.")</f>
        <v>173.55878642093222</v>
      </c>
      <c r="I26" s="1001">
        <f>IF(Capital!$C26&gt;0,100*Capital!I26/Capital!$C26,"n.a.")</f>
        <v>177.23772801773438</v>
      </c>
      <c r="J26" s="1001">
        <f>IF(Capital!$C26&gt;0,100*Capital!J26/Capital!$C26,"n.a.")</f>
        <v>166.74331128326671</v>
      </c>
      <c r="K26" s="1001">
        <f>IF(Capital!$C26&gt;0,100*Capital!K26/Capital!$C26,"n.a.")</f>
        <v>177.57575042940636</v>
      </c>
      <c r="L26" s="1001">
        <f>IF(Capital!$C26&gt;0,100*Capital!L26/Capital!$C26,"n.a.")</f>
        <v>176.33764508432873</v>
      </c>
      <c r="M26" s="942" t="str">
        <f>B26</f>
        <v>Total F.A.</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IF(Capital!$C28&gt;0,100*Capital!D28/Capital!$C28,"n.a.")</f>
        <v>108.78605129221209</v>
      </c>
      <c r="E28" s="1002">
        <f>IF(Capital!$C28&gt;0,100*Capital!E28/Capital!$C28,"n.a.")</f>
        <v>140.37744727750058</v>
      </c>
      <c r="F28" s="1002">
        <f>IF(Capital!$C28&gt;0,100*Capital!F28/Capital!$C28,"n.a.")</f>
        <v>160.24296310972966</v>
      </c>
      <c r="G28" s="1002">
        <f>IF(Capital!$C28&gt;0,100*Capital!G28/Capital!$C28,"n.a.")</f>
        <v>184.19501442670855</v>
      </c>
      <c r="H28" s="1002">
        <f>IF(Capital!$C28&gt;0,100*Capital!H28/Capital!$C28,"n.a.")</f>
        <v>202.20920584993749</v>
      </c>
      <c r="I28" s="1002">
        <f>IF(Capital!$C28&gt;0,100*Capital!I28/Capital!$C28,"n.a.")</f>
        <v>221.72550864983347</v>
      </c>
      <c r="J28" s="1002">
        <f>IF(Capital!$C28&gt;0,100*Capital!J28/Capital!$C28,"n.a.")</f>
        <v>215.55855510012015</v>
      </c>
      <c r="K28" s="1002">
        <f>IF(Capital!$C28&gt;0,100*Capital!K28/Capital!$C28,"n.a.")</f>
        <v>242.82689188017784</v>
      </c>
      <c r="L28" s="1002">
        <f>IF(Capital!$C28&gt;0,100*Capital!L28/Capital!$C28,"n.a.")</f>
        <v>238.542221341622</v>
      </c>
      <c r="M28" s="982" t="str">
        <f>B28</f>
        <v>Capital</v>
      </c>
    </row>
    <row r="29" spans="2:13" ht="16.5" thickTop="1">
      <c r="B29" s="981"/>
      <c r="C29" s="998"/>
      <c r="D29" s="998"/>
      <c r="E29" s="998"/>
      <c r="F29" s="998"/>
      <c r="G29" s="998"/>
      <c r="H29" s="998"/>
      <c r="I29" s="998"/>
      <c r="J29" s="998"/>
      <c r="K29" s="998"/>
      <c r="L29" s="998"/>
      <c r="M29" s="940"/>
    </row>
    <row r="30" spans="2:13" ht="15.75">
      <c r="B30" s="940" t="s">
        <v>670</v>
      </c>
      <c r="C30" s="999">
        <f>IF(Capital!$C30&gt;0,100*Capital!C30/Capital!$C30,"n.a.")</f>
        <v>100</v>
      </c>
      <c r="D30" s="999">
        <f>IF(Capital!$C30&gt;0,100*Capital!D30/Capital!$C30,"n.a.")</f>
        <v>0</v>
      </c>
      <c r="E30" s="999">
        <f>IF(Capital!$C30&gt;0,100*Capital!E30/Capital!$C30,"n.a.")</f>
        <v>0</v>
      </c>
      <c r="F30" s="999">
        <f>IF(Capital!$C30&gt;0,100*Capital!F30/Capital!$C30,"n.a.")</f>
        <v>0</v>
      </c>
      <c r="G30" s="999">
        <f>IF(Capital!$C30&gt;0,100*Capital!G30/Capital!$C30,"n.a.")</f>
        <v>0</v>
      </c>
      <c r="H30" s="999">
        <f>IF(Capital!$C30&gt;0,100*Capital!H30/Capital!$C30,"n.a.")</f>
        <v>0</v>
      </c>
      <c r="I30" s="999">
        <f>IF(Capital!$C30&gt;0,100*Capital!I30/Capital!$C30,"n.a.")</f>
        <v>0</v>
      </c>
      <c r="J30" s="999">
        <f>IF(Capital!$C30&gt;0,100*Capital!J30/Capital!$C30,"n.a.")</f>
        <v>0</v>
      </c>
      <c r="K30" s="999">
        <f>IF(Capital!$C30&gt;0,100*Capital!K30/Capital!$C30,"n.a.")</f>
        <v>0</v>
      </c>
      <c r="L30" s="999">
        <f>IF(Capital!$C30&gt;0,100*Capital!L30/Capital!$C30,"n.a.")</f>
        <v>-421.60804020100505</v>
      </c>
      <c r="M30" s="940" t="str">
        <f>B30</f>
        <v>S.T. Debt</v>
      </c>
    </row>
    <row r="31" spans="2:13" ht="15.75">
      <c r="B31" s="940"/>
      <c r="C31" s="998"/>
      <c r="D31" s="998"/>
      <c r="E31" s="998"/>
      <c r="F31" s="998"/>
      <c r="G31" s="998"/>
      <c r="H31" s="998"/>
      <c r="I31" s="998"/>
      <c r="J31" s="998"/>
      <c r="K31" s="998"/>
      <c r="L31" s="998"/>
      <c r="M31" s="940"/>
    </row>
    <row r="32" spans="2:13" ht="15.75">
      <c r="B32" s="944" t="s">
        <v>784</v>
      </c>
      <c r="C32" s="999">
        <f>IF(Capital!$C32&gt;0,100*Capital!C32/Capital!$C32,"n.a.")</f>
        <v>100</v>
      </c>
      <c r="D32" s="999">
        <f>IF(Capital!$C32&gt;0,100*Capital!D32/Capital!$C32,"n.a.")</f>
        <v>145.01110288675056</v>
      </c>
      <c r="E32" s="999">
        <f>IF(Capital!$C32&gt;0,100*Capital!E32/Capital!$C32,"n.a.")</f>
        <v>208.28275351591415</v>
      </c>
      <c r="F32" s="999">
        <f>IF(Capital!$C32&gt;0,100*Capital!F32/Capital!$C32,"n.a.")</f>
        <v>208.26794966691341</v>
      </c>
      <c r="G32" s="999">
        <f>IF(Capital!$C32&gt;0,100*Capital!G32/Capital!$C32,"n.a.")</f>
        <v>182.6276831976314</v>
      </c>
      <c r="H32" s="999">
        <f>IF(Capital!$C32&gt;0,100*Capital!H32/Capital!$C32,"n.a.")</f>
        <v>182.53145817912656</v>
      </c>
      <c r="I32" s="999">
        <f>IF(Capital!$C32&gt;0,100*Capital!I32/Capital!$C32,"n.a.")</f>
        <v>256.10658771280532</v>
      </c>
      <c r="J32" s="999">
        <f>IF(Capital!$C32&gt;0,100*Capital!J32/Capital!$C32,"n.a.")</f>
        <v>294.22649888971131</v>
      </c>
      <c r="K32" s="999">
        <f>IF(Capital!$C32&gt;0,100*Capital!K32/Capital!$C32,"n.a.")</f>
        <v>294.22649888971131</v>
      </c>
      <c r="L32" s="999">
        <f>IF(Capital!$C32&gt;0,100*Capital!L32/Capital!$C32,"n.a.")</f>
        <v>294.22649888971131</v>
      </c>
      <c r="M32" s="940" t="str">
        <f>B32</f>
        <v>L.T. Debt</v>
      </c>
    </row>
    <row r="33" spans="2:25" ht="15.75">
      <c r="B33" s="944" t="s">
        <v>692</v>
      </c>
      <c r="C33" s="999" t="str">
        <f>IF(Capital!$C33&gt;0,100*Capital!C33/Capital!$C33,"n.a.")</f>
        <v>n.a.</v>
      </c>
      <c r="D33" s="999" t="str">
        <f>IF(Capital!$C33&gt;0,100*Capital!D33/Capital!$C33,"n.a.")</f>
        <v>n.a.</v>
      </c>
      <c r="E33" s="999" t="str">
        <f>IF(Capital!$C33&gt;0,100*Capital!E33/Capital!$C33,"n.a.")</f>
        <v>n.a.</v>
      </c>
      <c r="F33" s="999" t="str">
        <f>IF(Capital!$C33&gt;0,100*Capital!F33/Capital!$C33,"n.a.")</f>
        <v>n.a.</v>
      </c>
      <c r="G33" s="999" t="str">
        <f>IF(Capital!$C33&gt;0,100*Capital!G33/Capital!$C33,"n.a.")</f>
        <v>n.a.</v>
      </c>
      <c r="H33" s="999" t="str">
        <f>IF(Capital!$C33&gt;0,100*Capital!H33/Capital!$C33,"n.a.")</f>
        <v>n.a.</v>
      </c>
      <c r="I33" s="999" t="str">
        <f>IF(Capital!$C33&gt;0,100*Capital!I33/Capital!$C33,"n.a.")</f>
        <v>n.a.</v>
      </c>
      <c r="J33" s="999" t="str">
        <f>IF(Capital!$C33&gt;0,100*Capital!J33/Capital!$C33,"n.a.")</f>
        <v>n.a.</v>
      </c>
      <c r="K33" s="999" t="str">
        <f>IF(Capital!$C33&gt;0,100*Capital!K33/Capital!$C33,"n.a.")</f>
        <v>n.a.</v>
      </c>
      <c r="L33" s="999" t="str">
        <f>IF(Capital!$C33&gt;0,100*Capital!L33/Capital!$C33,"n.a.")</f>
        <v>n.a.</v>
      </c>
      <c r="M33" s="940" t="str">
        <f>B33</f>
        <v>Other</v>
      </c>
    </row>
    <row r="34" spans="2:25" ht="15.75">
      <c r="B34" s="940" t="s">
        <v>782</v>
      </c>
      <c r="C34" s="999">
        <f>IF(Capital!$C34&gt;0,100*Capital!C34/Capital!$C34,"n.a.")</f>
        <v>100</v>
      </c>
      <c r="D34" s="999">
        <f>IF(Capital!$C34&gt;0,100*Capital!D34/Capital!$C34,"n.a.")</f>
        <v>145.01110288675056</v>
      </c>
      <c r="E34" s="999">
        <f>IF(Capital!$C34&gt;0,100*Capital!E34/Capital!$C34,"n.a.")</f>
        <v>208.28275351591415</v>
      </c>
      <c r="F34" s="999">
        <f>IF(Capital!$C34&gt;0,100*Capital!F34/Capital!$C34,"n.a.")</f>
        <v>208.26794966691341</v>
      </c>
      <c r="G34" s="999">
        <f>IF(Capital!$C34&gt;0,100*Capital!G34/Capital!$C34,"n.a.")</f>
        <v>182.6276831976314</v>
      </c>
      <c r="H34" s="999">
        <f>IF(Capital!$C34&gt;0,100*Capital!H34/Capital!$C34,"n.a.")</f>
        <v>182.53145817912656</v>
      </c>
      <c r="I34" s="999">
        <f>IF(Capital!$C34&gt;0,100*Capital!I34/Capital!$C34,"n.a.")</f>
        <v>256.10658771280532</v>
      </c>
      <c r="J34" s="999">
        <f>IF(Capital!$C34&gt;0,100*Capital!J34/Capital!$C34,"n.a.")</f>
        <v>294.22649888971131</v>
      </c>
      <c r="K34" s="999">
        <f>IF(Capital!$C34&gt;0,100*Capital!K34/Capital!$C34,"n.a.")</f>
        <v>294.22649888971131</v>
      </c>
      <c r="L34" s="999">
        <f>IF(Capital!$C34&gt;0,100*Capital!L34/Capital!$C34,"n.a.")</f>
        <v>305.18134715025906</v>
      </c>
      <c r="M34" s="940" t="str">
        <f>B34</f>
        <v>Total L.T.</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IF(Capital!$C36&gt;0,100*Capital!C36/Capital!$C36,"n.a.")</f>
        <v>100</v>
      </c>
      <c r="D36" s="1001">
        <f>IF(Capital!$C36&gt;0,100*Capital!D36/Capital!$C36,"n.a.")</f>
        <v>126.39354838709677</v>
      </c>
      <c r="E36" s="1001">
        <f>IF(Capital!$C36&gt;0,100*Capital!E36/Capital!$C36,"n.a.")</f>
        <v>181.54193548387096</v>
      </c>
      <c r="F36" s="1001">
        <f>IF(Capital!$C36&gt;0,100*Capital!F36/Capital!$C36,"n.a.")</f>
        <v>181.52903225806452</v>
      </c>
      <c r="G36" s="1001">
        <f>IF(Capital!$C36&gt;0,100*Capital!G36/Capital!$C36,"n.a.")</f>
        <v>159.18064516129033</v>
      </c>
      <c r="H36" s="1001">
        <f>IF(Capital!$C36&gt;0,100*Capital!H36/Capital!$C36,"n.a.")</f>
        <v>159.09677419354838</v>
      </c>
      <c r="I36" s="1001">
        <f>IF(Capital!$C36&gt;0,100*Capital!I36/Capital!$C36,"n.a.")</f>
        <v>223.2258064516129</v>
      </c>
      <c r="J36" s="1001">
        <f>IF(Capital!$C36&gt;0,100*Capital!J36/Capital!$C36,"n.a.")</f>
        <v>256.45161290322579</v>
      </c>
      <c r="K36" s="1001">
        <f>IF(Capital!$C36&gt;0,100*Capital!K36/Capital!$C36,"n.a.")</f>
        <v>256.45161290322579</v>
      </c>
      <c r="L36" s="1001">
        <f>IF(Capital!$C36&gt;0,100*Capital!L36/Capital!$C36,"n.a.")</f>
        <v>211.87096774193549</v>
      </c>
      <c r="M36" s="942" t="str">
        <f>B36</f>
        <v>Total Liab</v>
      </c>
    </row>
    <row r="37" spans="2:25" ht="15.75">
      <c r="B37" s="981"/>
      <c r="C37" s="999"/>
      <c r="D37" s="999"/>
      <c r="E37" s="999"/>
      <c r="F37" s="999"/>
      <c r="G37" s="999"/>
      <c r="H37" s="999"/>
      <c r="I37" s="999"/>
      <c r="J37" s="999"/>
      <c r="K37" s="999"/>
      <c r="L37" s="1000"/>
      <c r="M37" s="940"/>
    </row>
    <row r="38" spans="2:25" ht="15.75">
      <c r="B38" s="940" t="s">
        <v>821</v>
      </c>
      <c r="C38" s="999">
        <f>IF(Capital!$C38&gt;0,100*Capital!C38/Capital!$C38,"n.a.")</f>
        <v>100</v>
      </c>
      <c r="D38" s="999">
        <f>IF(Capital!$C38&gt;0,100*Capital!D38/Capital!$C38,"n.a.")</f>
        <v>104.60361975694603</v>
      </c>
      <c r="E38" s="999">
        <f>IF(Capital!$C38&gt;0,100*Capital!E38/Capital!$C38,"n.a.")</f>
        <v>130.5993594164253</v>
      </c>
      <c r="F38" s="999">
        <f>IF(Capital!$C38&gt;0,100*Capital!F38/Capital!$C38,"n.a.")</f>
        <v>155.18673470951526</v>
      </c>
      <c r="G38" s="999">
        <f>IF(Capital!$C38&gt;0,100*Capital!G38/Capital!$C38,"n.a.")</f>
        <v>190.13685194550442</v>
      </c>
      <c r="H38" s="999">
        <f>IF(Capital!$C38&gt;0,100*Capital!H38/Capital!$C38,"n.a.")</f>
        <v>212.45000229874489</v>
      </c>
      <c r="I38" s="999">
        <f>IF(Capital!$C38&gt;0,100*Capital!I38/Capital!$C38,"n.a.")</f>
        <v>221.36913245368029</v>
      </c>
      <c r="J38" s="999">
        <f>IF(Capital!$C38&gt;0,100*Capital!J38/Capital!$C38,"n.a.")</f>
        <v>205.84494199500406</v>
      </c>
      <c r="K38" s="999">
        <f>IF(Capital!$C38&gt;0,100*Capital!K38/Capital!$C38,"n.a.")</f>
        <v>239.59051691109985</v>
      </c>
      <c r="L38" s="999">
        <f>IF(Capital!$C38&gt;0,100*Capital!L38/Capital!$C38,"n.a.")</f>
        <v>244.87763014727292</v>
      </c>
      <c r="M38" s="940" t="str">
        <f>B38</f>
        <v>Stk Eqty</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IF(Capital!$C40&gt;0,100*Capital!C40/Capital!$C40,"n.a.")</f>
        <v>100</v>
      </c>
      <c r="D40" s="997">
        <f>IF(Capital!$C40&gt;0,100*Capital!D40/Capital!$C40,"n.a.")</f>
        <v>108.78605129221204</v>
      </c>
      <c r="E40" s="997">
        <f>IF(Capital!$C40&gt;0,100*Capital!E40/Capital!$C40,"n.a.")</f>
        <v>140.37744727750052</v>
      </c>
      <c r="F40" s="997">
        <f>IF(Capital!$C40&gt;0,100*Capital!F40/Capital!$C40,"n.a.")</f>
        <v>160.24296310972963</v>
      </c>
      <c r="G40" s="997">
        <f>IF(Capital!$C40&gt;0,100*Capital!G40/Capital!$C40,"n.a.")</f>
        <v>184.19501442670861</v>
      </c>
      <c r="H40" s="997">
        <f>IF(Capital!$C40&gt;0,100*Capital!H40/Capital!$C40,"n.a.")</f>
        <v>202.20920584993746</v>
      </c>
      <c r="I40" s="997">
        <f>IF(Capital!$C40&gt;0,100*Capital!I40/Capital!$C40,"n.a.")</f>
        <v>221.72550864983344</v>
      </c>
      <c r="J40" s="997">
        <f>IF(Capital!$C40&gt;0,100*Capital!J40/Capital!$C40,"n.a.")</f>
        <v>215.55855510012012</v>
      </c>
      <c r="K40" s="997">
        <f>IF(Capital!$C40&gt;0,100*Capital!K40/Capital!$C40,"n.a.")</f>
        <v>242.82689188017781</v>
      </c>
      <c r="L40" s="997">
        <f>IF(Capital!$C40&gt;0,100*Capital!L40/Capital!$C40,"n.a.")</f>
        <v>238.54222134162197</v>
      </c>
      <c r="M40" s="976" t="str">
        <f>B40</f>
        <v>Capital</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B2:Y168"/>
  <sheetViews>
    <sheetView zoomScale="75" workbookViewId="0">
      <selection activeCell="C34" activeCellId="1" sqref="A33 C34"/>
    </sheetView>
  </sheetViews>
  <sheetFormatPr defaultColWidth="9.1796875" defaultRowHeight="13"/>
  <cols>
    <col min="1" max="1" width="4.31640625" style="903" customWidth="1"/>
    <col min="2" max="2" width="21" style="903" customWidth="1"/>
    <col min="3" max="12" width="11.81640625" style="903" customWidth="1"/>
    <col min="13" max="13" width="15.6796875" style="903" customWidth="1"/>
    <col min="14" max="14" width="9.1796875" style="903"/>
    <col min="15" max="15" width="14.6796875" style="903" customWidth="1"/>
    <col min="16" max="16" width="8.6796875" style="903" bestFit="1" customWidth="1"/>
    <col min="17" max="18" width="8.31640625" style="903" bestFit="1" customWidth="1"/>
    <col min="19" max="19" width="37.31640625" style="903" bestFit="1" customWidth="1"/>
    <col min="20" max="25" width="8.31640625" style="903" bestFit="1" customWidth="1"/>
    <col min="26" max="16384" width="9.1796875" style="903"/>
  </cols>
  <sheetData>
    <row r="2" spans="2:14" ht="13.75" thickBot="1"/>
    <row r="3" spans="2:14" ht="39" customHeight="1">
      <c r="B3" s="1265" t="str">
        <f>'Balance Sheet'!B3:M3</f>
        <v>The Chubb Corporation (CB)</v>
      </c>
      <c r="C3" s="1266"/>
      <c r="D3" s="1266"/>
      <c r="E3" s="1266"/>
      <c r="F3" s="1266"/>
      <c r="G3" s="1266"/>
      <c r="H3" s="1266"/>
      <c r="I3" s="1266"/>
      <c r="J3" s="1266"/>
      <c r="K3" s="1266"/>
      <c r="L3" s="1266"/>
      <c r="M3" s="1267"/>
      <c r="N3" s="953"/>
    </row>
    <row r="4" spans="2:14" ht="26.25" customHeight="1">
      <c r="B4" s="1280" t="s">
        <v>827</v>
      </c>
      <c r="C4" s="1281"/>
      <c r="D4" s="1281"/>
      <c r="E4" s="1281"/>
      <c r="F4" s="1281"/>
      <c r="G4" s="1281"/>
      <c r="H4" s="1281"/>
      <c r="I4" s="1281"/>
      <c r="J4" s="1281"/>
      <c r="K4" s="1281"/>
      <c r="L4" s="1281"/>
      <c r="M4" s="1282"/>
      <c r="N4" s="953"/>
    </row>
    <row r="5" spans="2:14" ht="18.75" customHeight="1">
      <c r="B5" s="1283" t="s">
        <v>794</v>
      </c>
      <c r="C5" s="1284"/>
      <c r="D5" s="1284"/>
      <c r="E5" s="1284"/>
      <c r="F5" s="1284"/>
      <c r="G5" s="1284"/>
      <c r="H5" s="1284"/>
      <c r="I5" s="1284"/>
      <c r="J5" s="1284"/>
      <c r="K5" s="1284"/>
      <c r="L5" s="1284"/>
      <c r="M5" s="1285"/>
      <c r="N5" s="953"/>
    </row>
    <row r="6" spans="2:14" ht="15" customHeight="1" thickBot="1">
      <c r="B6" s="913"/>
      <c r="C6" s="910"/>
      <c r="D6" s="910"/>
      <c r="E6" s="910"/>
      <c r="F6" s="910"/>
      <c r="G6" s="910"/>
      <c r="H6" s="910"/>
      <c r="I6" s="910"/>
      <c r="J6" s="910"/>
      <c r="K6" s="910"/>
      <c r="L6" s="910"/>
      <c r="M6" s="909"/>
      <c r="N6" s="953"/>
    </row>
    <row r="7" spans="2:14" ht="16.5" thickBot="1">
      <c r="B7" s="907"/>
      <c r="C7" s="929">
        <f>'Balance Sheet'!C7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96">
        <v>40451</v>
      </c>
      <c r="M7" s="905"/>
      <c r="N7" s="952"/>
    </row>
    <row r="8" spans="2:14" ht="15.75">
      <c r="B8" s="995" t="s">
        <v>124</v>
      </c>
      <c r="C8" s="999" t="str">
        <f>IF(Capital!C8&gt;0,100*(Capital!C8/Capital!C$28),"n.a.")</f>
        <v>n.a.</v>
      </c>
      <c r="D8" s="999" t="str">
        <f>IF(Capital!D8&gt;0,100*(Capital!D8/Capital!D$28),"n.a.")</f>
        <v>n.a.</v>
      </c>
      <c r="E8" s="999" t="str">
        <f>IF(Capital!E8&gt;0,100*(Capital!E8/Capital!E$28),"n.a.")</f>
        <v>n.a.</v>
      </c>
      <c r="F8" s="999" t="str">
        <f>IF(Capital!F8&gt;0,100*(Capital!F8/Capital!F$28),"n.a.")</f>
        <v>n.a.</v>
      </c>
      <c r="G8" s="999" t="str">
        <f>IF(Capital!G8&gt;0,100*(Capital!G8/Capital!G$28),"n.a.")</f>
        <v>n.a.</v>
      </c>
      <c r="H8" s="999" t="str">
        <f>IF(Capital!H8&gt;0,100*(Capital!H8/Capital!H$28),"n.a.")</f>
        <v>n.a.</v>
      </c>
      <c r="I8" s="999" t="str">
        <f>IF(Capital!I8&gt;0,100*(Capital!I8/Capital!I$28),"n.a.")</f>
        <v>n.a.</v>
      </c>
      <c r="J8" s="999" t="str">
        <f>IF(Capital!J8&gt;0,100*(Capital!J8/Capital!J$28),"n.a.")</f>
        <v>n.a.</v>
      </c>
      <c r="K8" s="999" t="str">
        <f>IF(Capital!K8&gt;0,100*(Capital!K8/Capital!K$28),"n.a.")</f>
        <v>n.a.</v>
      </c>
      <c r="L8" s="999" t="str">
        <f>IF(Capital!L8&gt;0,100*(Capital!L8/Capital!L$28),"n.a.")</f>
        <v>n.a.</v>
      </c>
      <c r="M8" s="995" t="s">
        <v>124</v>
      </c>
      <c r="N8" s="952"/>
    </row>
    <row r="9" spans="2:14" ht="15.75">
      <c r="B9" s="994">
        <v>0.02</v>
      </c>
      <c r="C9" s="999"/>
      <c r="D9" s="999"/>
      <c r="E9" s="999"/>
      <c r="F9" s="999"/>
      <c r="G9" s="999"/>
      <c r="H9" s="999"/>
      <c r="I9" s="999"/>
      <c r="J9" s="999"/>
      <c r="K9" s="999"/>
      <c r="L9" s="999"/>
      <c r="M9" s="994">
        <v>0.02</v>
      </c>
      <c r="N9" s="952"/>
    </row>
    <row r="10" spans="2:14" ht="15.75">
      <c r="B10" s="993" t="str">
        <f>'Balance Sheet'!B8</f>
        <v>S/T Investments</v>
      </c>
      <c r="C10" s="1005">
        <f>IF(Capital!C10&gt;0,100*(Capital!C10/Capital!C$28),"n.a.")</f>
        <v>11.848476217601824</v>
      </c>
      <c r="D10" s="1005">
        <f>IF(Capital!D10&gt;0,100*(Capital!D10/Capital!D$28),"n.a.")</f>
        <v>19.997040342409612</v>
      </c>
      <c r="E10" s="1005">
        <f>IF(Capital!E10&gt;0,100*(Capital!E10/Capital!E$28),"n.a.")</f>
        <v>23.781967025114898</v>
      </c>
      <c r="F10" s="1005">
        <f>IF(Capital!F10&gt;0,100*(Capital!F10/Capital!F$28),"n.a.")</f>
        <v>10.104249580760582</v>
      </c>
      <c r="G10" s="1005">
        <f>IF(Capital!G10&gt;0,100*(Capital!G10/Capital!G$28),"n.a.")</f>
        <v>12.763625851300569</v>
      </c>
      <c r="H10" s="1005">
        <f>IF(Capital!H10&gt;0,100*(Capital!H10/Capital!H$28),"n.a.")</f>
        <v>13.803662196092843</v>
      </c>
      <c r="I10" s="1005">
        <f>IF(Capital!I10&gt;0,100*(Capital!I10/Capital!I$28),"n.a.")</f>
        <v>10.27087405752583</v>
      </c>
      <c r="J10" s="1005">
        <f>IF(Capital!J10&gt;0,100*(Capital!J10/Capital!J$28),"n.a.")</f>
        <v>14.235652323777789</v>
      </c>
      <c r="K10" s="1005">
        <f>IF(Capital!K10&gt;0,100*(Capital!K10/Capital!K$28),"n.a.")</f>
        <v>9.7812229078484378</v>
      </c>
      <c r="L10" s="1005">
        <f>IF(Capital!L10&gt;0,100*(Capital!L10/Capital!L$28),"n.a.")</f>
        <v>10.621398536053574</v>
      </c>
      <c r="M10" s="993" t="str">
        <f>'Balance Sheet'!M8</f>
        <v>S/T Investments</v>
      </c>
    </row>
    <row r="11" spans="2:14" ht="15.75">
      <c r="B11" s="944" t="str">
        <f>'Balance Sheet'!B9</f>
        <v>Cash</v>
      </c>
      <c r="C11" s="999">
        <f>IF(Capital!C11&gt;0,100*(Capital!C11/Capital!C$28),"n.a.")</f>
        <v>0.31949277426225658</v>
      </c>
      <c r="D11" s="999">
        <f>IF(Capital!D11&gt;0,100*(Capital!D11/Capital!D$28),"n.a.")</f>
        <v>0.47696020398870759</v>
      </c>
      <c r="E11" s="999">
        <f>IF(Capital!E11&gt;0,100*(Capital!E11/Capital!E$28),"n.a.")</f>
        <v>0.46048394922326413</v>
      </c>
      <c r="F11" s="999">
        <f>IF(Capital!F11&gt;0,100*(Capital!F11/Capital!F$28),"n.a.")</f>
        <v>0.32225407840743125</v>
      </c>
      <c r="G11" s="999">
        <f>IF(Capital!G11&gt;0,100*(Capital!G11/Capital!G$28),"n.a.")</f>
        <v>0.23933899410392431</v>
      </c>
      <c r="H11" s="999">
        <f>IF(Capital!H11&gt;0,100*(Capital!H11/Capital!H$28),"n.a.")</f>
        <v>0.23271480188621468</v>
      </c>
      <c r="I11" s="999">
        <f>IF(Capital!I11&gt;0,100*(Capital!I11/Capital!I$28),"n.a.")</f>
        <v>0.27366657358279811</v>
      </c>
      <c r="J11" s="999">
        <f>IF(Capital!J11&gt;0,100*(Capital!J11/Capital!J$28),"n.a.")</f>
        <v>0.32170965703452631</v>
      </c>
      <c r="K11" s="999">
        <f>IF(Capital!K11&gt;0,100*(Capital!K11/Capital!K$28),"n.a.")</f>
        <v>0.26008465500535471</v>
      </c>
      <c r="L11" s="999">
        <f>IF(Capital!L11&gt;0,100*(Capital!L11/Capital!L$28),"n.a.")</f>
        <v>0.39973005243212378</v>
      </c>
      <c r="M11" s="944" t="str">
        <f>'Balance Sheet'!M9</f>
        <v>Cash</v>
      </c>
    </row>
    <row r="12" spans="2:14" ht="15.75">
      <c r="B12" s="944" t="str">
        <f>'Balance Sheet'!B10</f>
        <v>Premiums Receivable</v>
      </c>
      <c r="C12" s="999">
        <f>IF(Capital!C12&gt;0,100*(Capital!C12/Capital!C$28),"n.a.")</f>
        <v>20.96268869268015</v>
      </c>
      <c r="D12" s="999">
        <f>IF(Capital!D12&gt;0,100*(Capital!D12/Capital!D$28),"n.a.")</f>
        <v>23.22875876513978</v>
      </c>
      <c r="E12" s="999">
        <f>IF(Capital!E12&gt;0,100*(Capital!E12/Capital!E$28),"n.a.")</f>
        <v>19.301511128362105</v>
      </c>
      <c r="F12" s="999">
        <f>IF(Capital!F12&gt;0,100*(Capital!F12/Capital!F$28),"n.a.")</f>
        <v>18.055501889475352</v>
      </c>
      <c r="G12" s="999">
        <f>IF(Capital!G12&gt;0,100*(Capital!G12/Capital!G$28),"n.a.")</f>
        <v>15.591994245107335</v>
      </c>
      <c r="H12" s="999">
        <f>IF(Capital!H12&gt;0,100*(Capital!H12/Capital!H$28),"n.a.")</f>
        <v>14.171106620123705</v>
      </c>
      <c r="I12" s="999">
        <f>IF(Capital!I12&gt;0,100*(Capital!I12/Capital!I$28),"n.a.")</f>
        <v>12.437866517732477</v>
      </c>
      <c r="J12" s="999">
        <f>IF(Capital!J12&gt;0,100*(Capital!J12/Capital!J$28),"n.a.")</f>
        <v>12.644338484517723</v>
      </c>
      <c r="K12" s="999">
        <f>IF(Capital!K12&gt;0,100*(Capital!K12/Capital!K$28),"n.a.")</f>
        <v>10.714467846397062</v>
      </c>
      <c r="L12" s="999">
        <f>IF(Capital!L12&gt;0,100*(Capital!L12/Capital!L$28),"n.a.")</f>
        <v>10.247624980532628</v>
      </c>
      <c r="M12" s="944" t="str">
        <f>'Balance Sheet'!M10</f>
        <v>Premiums Receivable</v>
      </c>
    </row>
    <row r="13" spans="2:14" ht="15.75">
      <c r="B13" s="944" t="str">
        <f>'Balance Sheet'!B11</f>
        <v>Other Assets</v>
      </c>
      <c r="C13" s="998">
        <f>IF(Capital!C13&gt;0,100*(Capital!C13/Capital!C$28),"n.a.")</f>
        <v>16.488551508922271</v>
      </c>
      <c r="D13" s="998">
        <f>IF(Capital!D13&gt;0,100*(Capital!D13/Capital!D$28),"n.a.")</f>
        <v>20.119979965394766</v>
      </c>
      <c r="E13" s="998">
        <f>IF(Capital!E13&gt;0,100*(Capital!E13/Capital!E$28),"n.a.")</f>
        <v>12.402191268448028</v>
      </c>
      <c r="F13" s="998">
        <f>IF(Capital!F13&gt;0,100*(Capital!F13/Capital!F$28),"n.a.")</f>
        <v>25.553125555443934</v>
      </c>
      <c r="G13" s="998">
        <f>IF(Capital!G13&gt;0,100*(Capital!G13/Capital!G$28),"n.a.")</f>
        <v>9.6085193925092316</v>
      </c>
      <c r="H13" s="998">
        <f>IF(Capital!H13&gt;0,100*(Capital!H13/Capital!H$28),"n.a.")</f>
        <v>9.2718476330455015</v>
      </c>
      <c r="I13" s="998">
        <f>IF(Capital!I13&gt;0,100*(Capital!I13/Capital!I$28),"n.a.")</f>
        <v>7.6291538676347388</v>
      </c>
      <c r="J13" s="998">
        <f>IF(Capital!J13&gt;0,100*(Capital!J13/Capital!J$28),"n.a.")</f>
        <v>7.3016602516229101</v>
      </c>
      <c r="K13" s="998">
        <f>IF(Capital!K13&gt;0,100*(Capital!K13/Capital!K$28),"n.a.")</f>
        <v>6.1196389413024637</v>
      </c>
      <c r="L13" s="998">
        <f>IF(Capital!L13&gt;0,100*(Capital!L13/Capital!L$28),"n.a.")</f>
        <v>6.6552458080257493</v>
      </c>
      <c r="M13" s="944" t="str">
        <f>'Balance Sheet'!M11</f>
        <v>Other Assets</v>
      </c>
    </row>
    <row r="14" spans="2:14" ht="15.75">
      <c r="B14" s="942" t="s">
        <v>792</v>
      </c>
      <c r="C14" s="1001">
        <f>IF(Capital!C14&gt;0,100*(Capital!C14/Capital!C$28),"n.a.")</f>
        <v>49.619209193466496</v>
      </c>
      <c r="D14" s="1001">
        <f>IF(Capital!D14&gt;0,100*(Capital!D14/Capital!D$28),"n.a.")</f>
        <v>63.822739276932857</v>
      </c>
      <c r="E14" s="1001">
        <f>IF(Capital!E14&gt;0,100*(Capital!E14/Capital!E$28),"n.a.")</f>
        <v>55.946153371148291</v>
      </c>
      <c r="F14" s="1001">
        <f>IF(Capital!F14&gt;0,100*(Capital!F14/Capital!F$28),"n.a.")</f>
        <v>54.035131104087306</v>
      </c>
      <c r="G14" s="1001">
        <f>IF(Capital!G14&gt;0,100*(Capital!G14/Capital!G$28),"n.a.")</f>
        <v>38.203478483021051</v>
      </c>
      <c r="H14" s="1001">
        <f>IF(Capital!H14&gt;0,100*(Capital!H14/Capital!H$28),"n.a.")</f>
        <v>37.47933125114826</v>
      </c>
      <c r="I14" s="1001">
        <f>IF(Capital!I14&gt;0,100*(Capital!I14/Capital!I$28),"n.a.")</f>
        <v>30.611561016475846</v>
      </c>
      <c r="J14" s="1001">
        <f>IF(Capital!J14&gt;0,100*(Capital!J14/Capital!J$28),"n.a.")</f>
        <v>34.503360716952955</v>
      </c>
      <c r="K14" s="1001">
        <f>IF(Capital!K14&gt;0,100*(Capital!K14/Capital!K$28),"n.a.")</f>
        <v>26.875414350553317</v>
      </c>
      <c r="L14" s="1001">
        <f>IF(Capital!L14&gt;0,100*(Capital!L14/Capital!L$28),"n.a.")</f>
        <v>27.923999377044073</v>
      </c>
      <c r="M14" s="942" t="s">
        <v>792</v>
      </c>
    </row>
    <row r="15" spans="2:14" ht="15.75">
      <c r="B15" s="940"/>
      <c r="C15" s="998"/>
      <c r="D15" s="998"/>
      <c r="E15" s="998"/>
      <c r="F15" s="998"/>
      <c r="G15" s="998"/>
      <c r="H15" s="998"/>
      <c r="I15" s="998"/>
      <c r="J15" s="998"/>
      <c r="K15" s="998"/>
      <c r="L15" s="998"/>
      <c r="M15" s="940"/>
    </row>
    <row r="16" spans="2:14" ht="15.75">
      <c r="B16" s="944" t="str">
        <f>'Balance Sheet'!B22</f>
        <v>Unpaid Losses and Loss Expenses</v>
      </c>
      <c r="C16" s="999">
        <f>IF(Capital!C16&gt;0,100*(Capital!C16/Capital!C$28),"n.a.")</f>
        <v>192.12784664346836</v>
      </c>
      <c r="D16" s="999">
        <f>IF(Capital!D16&gt;0,100*(Capital!D16/Capital!D$28),"n.a.")</f>
        <v>190.25020489937157</v>
      </c>
      <c r="E16" s="999">
        <f>IF(Capital!E16&gt;0,100*(Capital!E16/Capital!E$28),"n.a.")</f>
        <v>158.32708474845401</v>
      </c>
      <c r="F16" s="999">
        <f>IF(Capital!F16&gt;0,100*(Capital!F16/Capital!F$28),"n.a.")</f>
        <v>156.81408953562959</v>
      </c>
      <c r="G16" s="999">
        <f>IF(Capital!G16&gt;0,100*(Capital!G16/Capital!G$28),"n.a.")</f>
        <v>151.14459167826391</v>
      </c>
      <c r="H16" s="999">
        <f>IF(Capital!H16&gt;0,100*(Capital!H16/Capital!H$28),"n.a.")</f>
        <v>136.52397574866802</v>
      </c>
      <c r="I16" s="999">
        <f>IF(Capital!I16&gt;0,100*(Capital!I16/Capital!I$28),"n.a.")</f>
        <v>126.35018151354372</v>
      </c>
      <c r="J16" s="999">
        <f>IF(Capital!J16&gt;0,100*(Capital!J16/Capital!J$28),"n.a.")</f>
        <v>128.49428390877233</v>
      </c>
      <c r="K16" s="999">
        <f>IF(Capital!K16&gt;0,100*(Capital!K16/Capital!K$28),"n.a.")</f>
        <v>116.47202815033913</v>
      </c>
      <c r="L16" s="999">
        <f>IF(Capital!L16&gt;0,100*(Capital!L16/Capital!L$28),"n.a.")</f>
        <v>118.12801744276594</v>
      </c>
      <c r="M16" s="944" t="str">
        <f>'Balance Sheet'!M22</f>
        <v>Unpaid Losses and Loss Expenses</v>
      </c>
    </row>
    <row r="17" spans="2:13" ht="15.75">
      <c r="B17" s="944" t="s">
        <v>692</v>
      </c>
      <c r="C17" s="999">
        <f>IF(Capital!C17&gt;0,100*(Capital!C17/Capital!C$28),"n.a.")</f>
        <v>72.552103327430572</v>
      </c>
      <c r="D17" s="999">
        <f>IF(Capital!D17&gt;0,100*(Capital!D17/Capital!D$28),"n.a.")</f>
        <v>97.702850377925472</v>
      </c>
      <c r="E17" s="999">
        <f>IF(Capital!E17&gt;0,100*(Capital!E17/Capital!E$28),"n.a.")</f>
        <v>80.072160128441482</v>
      </c>
      <c r="F17" s="999">
        <f>IF(Capital!F17&gt;0,100*(Capital!F17/Capital!F$28),"n.a.")</f>
        <v>85.225771052773936</v>
      </c>
      <c r="G17" s="999">
        <f>IF(Capital!G17&gt;0,100*(Capital!G17/Capital!G$28),"n.a.")</f>
        <v>71.967756465850513</v>
      </c>
      <c r="H17" s="999">
        <f>IF(Capital!H17&gt;0,100*(Capital!H17/Capital!H$28),"n.a.")</f>
        <v>71.376079367995587</v>
      </c>
      <c r="I17" s="999">
        <f>IF(Capital!I17&gt;0,100*(Capital!I17/Capital!I$28),"n.a.")</f>
        <v>56.107232616587545</v>
      </c>
      <c r="J17" s="999">
        <f>IF(Capital!J17&gt;0,100*(Capital!J17/Capital!J$28),"n.a.")</f>
        <v>49.721376457746885</v>
      </c>
      <c r="K17" s="999">
        <f>IF(Capital!K17&gt;0,100*(Capital!K17/Capital!K$28),"n.a.")</f>
        <v>40.802692641134172</v>
      </c>
      <c r="L17" s="999">
        <f>IF(Capital!L17&gt;0,100*(Capital!L17/Capital!L$28),"n.a.")</f>
        <v>42.698437418885945</v>
      </c>
      <c r="M17" s="944" t="s">
        <v>692</v>
      </c>
    </row>
    <row r="18" spans="2:13" ht="15.75">
      <c r="B18" s="942" t="s">
        <v>785</v>
      </c>
      <c r="C18" s="1001">
        <f>IF(Capital!C18&gt;0,100*(Capital!C18/Capital!C$28),"n.a.")</f>
        <v>264.67994997089892</v>
      </c>
      <c r="D18" s="1001">
        <f>IF(Capital!D18&gt;0,100*(Capital!D18/Capital!D$28),"n.a.")</f>
        <v>287.95305527729704</v>
      </c>
      <c r="E18" s="1001">
        <f>IF(Capital!E18&gt;0,100*(Capital!E18/Capital!E$28),"n.a.")</f>
        <v>238.39924487689547</v>
      </c>
      <c r="F18" s="1001">
        <f>IF(Capital!F18&gt;0,100*(Capital!F18/Capital!F$28),"n.a.")</f>
        <v>242.03986058840354</v>
      </c>
      <c r="G18" s="1001">
        <f>IF(Capital!G18&gt;0,100*(Capital!G18/Capital!G$28),"n.a.")</f>
        <v>223.11234814411441</v>
      </c>
      <c r="H18" s="1001">
        <f>IF(Capital!H18&gt;0,100*(Capital!H18/Capital!H$28),"n.a.")</f>
        <v>207.90005511666359</v>
      </c>
      <c r="I18" s="1001">
        <f>IF(Capital!I18&gt;0,100*(Capital!I18/Capital!I$28),"n.a.")</f>
        <v>182.45741413013127</v>
      </c>
      <c r="J18" s="1001">
        <f>IF(Capital!J18&gt;0,100*(Capital!J18/Capital!J$28),"n.a.")</f>
        <v>178.21566036651922</v>
      </c>
      <c r="K18" s="1001">
        <f>IF(Capital!K18&gt;0,100*(Capital!K18/Capital!K$28),"n.a.")</f>
        <v>157.2747207914733</v>
      </c>
      <c r="L18" s="1001">
        <f>IF(Capital!L18&gt;0,100*(Capital!L18/Capital!L$28),"n.a.")</f>
        <v>160.82645486165188</v>
      </c>
      <c r="M18" s="942" t="s">
        <v>785</v>
      </c>
    </row>
    <row r="19" spans="2:13" ht="15.75">
      <c r="B19" s="981"/>
      <c r="C19" s="998"/>
      <c r="D19" s="998"/>
      <c r="E19" s="998"/>
      <c r="F19" s="998"/>
      <c r="G19" s="998"/>
      <c r="H19" s="998"/>
      <c r="I19" s="998"/>
      <c r="J19" s="998"/>
      <c r="K19" s="998"/>
      <c r="L19" s="998"/>
      <c r="M19" s="981"/>
    </row>
    <row r="20" spans="2:13" ht="15" customHeight="1">
      <c r="B20" s="987" t="s">
        <v>823</v>
      </c>
      <c r="C20" s="1004" t="str">
        <f>IF(Capital!C20&gt;0,100*(Capital!C20/Capital!C$28),"n.a.")</f>
        <v>n.a.</v>
      </c>
      <c r="D20" s="1004" t="str">
        <f>IF(Capital!D20&gt;0,100*(Capital!D20/Capital!D$28),"n.a.")</f>
        <v>n.a.</v>
      </c>
      <c r="E20" s="1007" t="str">
        <f>IF(Capital!E20&gt;0,100*(Capital!E20/Capital!E$28),"n.a.")</f>
        <v>n.a.</v>
      </c>
      <c r="F20" s="1004" t="str">
        <f>IF(Capital!F20&gt;0,100*(Capital!F20/Capital!F$28),"n.a.")</f>
        <v>n.a.</v>
      </c>
      <c r="G20" s="1004" t="str">
        <f>IF(Capital!G20&gt;0,100*(Capital!G20/Capital!G$28),"n.a.")</f>
        <v>n.a.</v>
      </c>
      <c r="H20" s="1004" t="str">
        <f>IF(Capital!H20&gt;0,100*(Capital!H20/Capital!H$28),"n.a.")</f>
        <v>n.a.</v>
      </c>
      <c r="I20" s="1007" t="str">
        <f>IF(Capital!I20&gt;0,100*(Capital!I20/Capital!I$28),"n.a.")</f>
        <v>n.a.</v>
      </c>
      <c r="J20" s="1007" t="str">
        <f>IF(Capital!J20&gt;0,100*(Capital!J20/Capital!J$28),"n.a.")</f>
        <v>n.a.</v>
      </c>
      <c r="K20" s="1007" t="str">
        <f>IF(Capital!K20&gt;0,100*(Capital!K20/Capital!K$28),"n.a.")</f>
        <v>n.a.</v>
      </c>
      <c r="L20" s="1007" t="str">
        <f>IF(Capital!L20&gt;0,100*(Capital!L20/Capital!L$28),"n.a.")</f>
        <v>n.a.</v>
      </c>
      <c r="M20" s="987" t="s">
        <v>823</v>
      </c>
    </row>
    <row r="21" spans="2:13" ht="15.75">
      <c r="B21" s="940"/>
      <c r="C21" s="998"/>
      <c r="D21" s="998"/>
      <c r="E21" s="998"/>
      <c r="F21" s="998"/>
      <c r="G21" s="998"/>
      <c r="H21" s="998"/>
      <c r="I21" s="998"/>
      <c r="J21" s="998"/>
      <c r="K21" s="1006"/>
      <c r="L21" s="998"/>
      <c r="M21" s="940"/>
    </row>
    <row r="22" spans="2:13" ht="15" customHeight="1">
      <c r="B22" s="944" t="str">
        <f>'Balance Sheet'!B14</f>
        <v>Investments</v>
      </c>
      <c r="C22" s="999">
        <f>IF(Capital!C22&gt;0,100*(Capital!C22/Capital!C$28),"n.a.")</f>
        <v>208.37739774373713</v>
      </c>
      <c r="D22" s="999">
        <f>IF(Capital!D22&gt;0,100*(Capital!D22/Capital!D$28),"n.a.")</f>
        <v>219.19337947363621</v>
      </c>
      <c r="E22" s="999">
        <f>IF(Capital!E22&gt;0,100*(Capital!E22/Capital!E$28),"n.a.")</f>
        <v>211.06484707874978</v>
      </c>
      <c r="F22" s="999">
        <f>IF(Capital!F22&gt;0,100*(Capital!F22/Capital!F$28),"n.a.")</f>
        <v>230.68291589709511</v>
      </c>
      <c r="G22" s="999">
        <f>IF(Capital!G22&gt;0,100*(Capital!G22/Capital!G$28),"n.a.")</f>
        <v>220.07691118237506</v>
      </c>
      <c r="H22" s="999">
        <f>IF(Capital!H22&gt;0,100*(Capital!H22/Capital!H$28),"n.a.")</f>
        <v>217.03104905383063</v>
      </c>
      <c r="I22" s="999">
        <f>IF(Capital!I22&gt;0,100*(Capital!I22/Capital!I$28),"n.a.")</f>
        <v>213.58279810108905</v>
      </c>
      <c r="J22" s="999">
        <f>IF(Capital!J22&gt;0,100*(Capital!J22/Capital!J$28),"n.a.")</f>
        <v>208.3070029298558</v>
      </c>
      <c r="K22" s="999">
        <f>IF(Capital!K22&gt;0,100*(Capital!K22/Capital!K$28),"n.a.")</f>
        <v>204.42653883420877</v>
      </c>
      <c r="L22" s="999">
        <f>IF(Capital!L22&gt;0,100*(Capital!L22/Capital!L$28),"n.a.")</f>
        <v>208.51892228624826</v>
      </c>
      <c r="M22" s="944" t="str">
        <f>'Balance Sheet'!M14</f>
        <v>Investments</v>
      </c>
    </row>
    <row r="23" spans="2:13" ht="15" customHeight="1">
      <c r="B23" s="944" t="str">
        <f>'Balance Sheet'!B15</f>
        <v>Reinsurance Recoverable*</v>
      </c>
      <c r="C23" s="1003">
        <f>IF(Capital!C23&gt;0,100*(Capital!C23/Capital!C$28),"n.a.")</f>
        <v>55.78987777543869</v>
      </c>
      <c r="D23" s="1003">
        <f>IF(Capital!D23&gt;0,100*(Capital!D23/Capital!D$28),"n.a.")</f>
        <v>46.347099535561412</v>
      </c>
      <c r="E23" s="1003">
        <f>IF(Capital!E23&gt;0,100*(Capital!E23/Capital!E$28),"n.a.")</f>
        <v>30.227860161081161</v>
      </c>
      <c r="F23" s="1003">
        <f>IF(Capital!F23&gt;0,100*(Capital!F23/Capital!F$28),"n.a.")</f>
        <v>26.917875441457177</v>
      </c>
      <c r="G23" s="1003">
        <f>IF(Capital!G23&gt;0,100*(Capital!G23/Capital!G$28),"n.a.")</f>
        <v>25.340352151025602</v>
      </c>
      <c r="H23" s="1003">
        <f>IF(Capital!H23&gt;0,100*(Capital!H23/Capital!H$28),"n.a.")</f>
        <v>15.885847265601077</v>
      </c>
      <c r="I23" s="999">
        <f>IF(Capital!I23&gt;0,100*(Capital!I23/Capital!I$28),"n.a.")</f>
        <v>12.88466908684725</v>
      </c>
      <c r="J23" s="999">
        <f>IF(Capital!J23&gt;0,100*(Capital!J23/Capital!J$28),"n.a.")</f>
        <v>12.70753145286379</v>
      </c>
      <c r="K23" s="999">
        <f>IF(Capital!K23&gt;0,100*(Capital!K23/Capital!K$28),"n.a.")</f>
        <v>10.469682288744963</v>
      </c>
      <c r="L23" s="999">
        <f>IF(Capital!L23&gt;0,100*(Capital!L23/Capital!L$28),"n.a.")</f>
        <v>9.842703628718267</v>
      </c>
      <c r="M23" s="944" t="str">
        <f>'Balance Sheet'!M15</f>
        <v>Reinsurance Recoverable*</v>
      </c>
    </row>
    <row r="24" spans="2:13" ht="15" customHeight="1">
      <c r="B24" s="944" t="str">
        <f>'Balance Sheet'!B16</f>
        <v>Investment Associated F.A.</v>
      </c>
      <c r="C24" s="1003">
        <f>IF(Capital!C24&gt;0,100*(Capital!C24/Capital!C$28),"n.a.")</f>
        <v>21.027082585167118</v>
      </c>
      <c r="D24" s="1003">
        <f>IF(Capital!D24&gt;0,100*(Capital!D24/Capital!D$28),"n.a.")</f>
        <v>27.545305527729706</v>
      </c>
      <c r="E24" s="1003">
        <f>IF(Capital!E24&gt;0,100*(Capital!E24/Capital!E$28),"n.a.")</f>
        <v>16.079005636958684</v>
      </c>
      <c r="F24" s="1003">
        <f>IF(Capital!F24&gt;0,100*(Capital!F24/Capital!F$28),"n.a.")</f>
        <v>9.0447523589462229</v>
      </c>
      <c r="G24" s="1003">
        <f>IF(Capital!G24&gt;0,100*(Capital!G24/Capital!G$28),"n.a.")</f>
        <v>20.8090464761367</v>
      </c>
      <c r="H24" s="1003">
        <f>IF(Capital!H24&gt;0,100*(Capital!H24/Capital!H$28),"n.a.")</f>
        <v>19.793006307795945</v>
      </c>
      <c r="I24" s="999">
        <f>IF(Capital!I24&gt;0,100*(Capital!I24/Capital!I$28),"n.a.")</f>
        <v>9.4219491762077627</v>
      </c>
      <c r="J24" s="999">
        <f>IF(Capital!J24&gt;0,100*(Capital!J24/Capital!J$28),"n.a.")</f>
        <v>2.498994657321767</v>
      </c>
      <c r="K24" s="999">
        <f>IF(Capital!K24&gt;0,100*(Capital!K24/Capital!K$28),"n.a.")</f>
        <v>2.3458615941659442</v>
      </c>
      <c r="L24" s="999">
        <f>IF(Capital!L24&gt;0,100*(Capital!L24/Capital!L$28),"n.a.")</f>
        <v>2.3464673207703886</v>
      </c>
      <c r="M24" s="944" t="str">
        <f>'Balance Sheet'!M16</f>
        <v>Investment Associated F.A.</v>
      </c>
    </row>
    <row r="25" spans="2:13" ht="15.75">
      <c r="B25" s="944" t="str">
        <f>'Balance Sheet'!B17</f>
        <v>Other F.A.</v>
      </c>
      <c r="C25" s="999">
        <f>IF(Capital!C25&gt;0,100*(Capital!C25/Capital!C$28),"n.a.")</f>
        <v>29.866382673089543</v>
      </c>
      <c r="D25" s="999">
        <f>IF(Capital!D25&gt;0,100*(Capital!D25/Capital!D$28),"n.a.")</f>
        <v>31.044531463436837</v>
      </c>
      <c r="E25" s="999">
        <f>IF(Capital!E25&gt;0,100*(Capital!E25/Capital!E$28),"n.a.")</f>
        <v>25.081378628957555</v>
      </c>
      <c r="F25" s="999">
        <f>IF(Capital!F25&gt;0,100*(Capital!F25/Capital!F$28),"n.a.")</f>
        <v>21.359185786817726</v>
      </c>
      <c r="G25" s="999">
        <f>IF(Capital!G25&gt;0,100*(Capital!G25/Capital!G$28),"n.a.")</f>
        <v>18.682559851556046</v>
      </c>
      <c r="H25" s="999">
        <f>IF(Capital!H25&gt;0,100*(Capital!H25/Capital!H$28),"n.a.")</f>
        <v>17.710821238287707</v>
      </c>
      <c r="I25" s="999">
        <f>IF(Capital!I25&gt;0,100*(Capital!I25/Capital!I$28),"n.a.")</f>
        <v>15.95643674951131</v>
      </c>
      <c r="J25" s="999">
        <f>IF(Capital!J25&gt;0,100*(Capital!J25/Capital!J$28),"n.a.")</f>
        <v>20.198770609524903</v>
      </c>
      <c r="K25" s="999">
        <f>IF(Capital!K25&gt;0,100*(Capital!K25/Capital!K$28),"n.a.")</f>
        <v>13.157223723800296</v>
      </c>
      <c r="L25" s="999">
        <f>IF(Capital!L25&gt;0,100*(Capital!L25/Capital!L$28),"n.a.")</f>
        <v>12.194362248870892</v>
      </c>
      <c r="M25" s="944" t="str">
        <f>'Balance Sheet'!M17</f>
        <v>Other F.A.</v>
      </c>
    </row>
    <row r="26" spans="2:13" ht="15.75">
      <c r="B26" s="942" t="s">
        <v>788</v>
      </c>
      <c r="C26" s="1001">
        <f>IF(Capital!C26&gt;0,100*(Capital!C26/Capital!C$28),"n.a.")</f>
        <v>315.0607407774325</v>
      </c>
      <c r="D26" s="1001">
        <f>IF(Capital!D26&gt;0,100*(Capital!D26/Capital!D$28),"n.a.")</f>
        <v>324.13031600036419</v>
      </c>
      <c r="E26" s="1001">
        <f>IF(Capital!E26&gt;0,100*(Capital!E26/Capital!E$28),"n.a.")</f>
        <v>282.45309150574718</v>
      </c>
      <c r="F26" s="1001">
        <f>IF(Capital!F26&gt;0,100*(Capital!F26/Capital!F$28),"n.a.")</f>
        <v>288.00472948431621</v>
      </c>
      <c r="G26" s="1001">
        <f>IF(Capital!G26&gt;0,100*(Capital!G26/Capital!G$28),"n.a.")</f>
        <v>284.90886966109332</v>
      </c>
      <c r="H26" s="1001">
        <f>IF(Capital!H26&gt;0,100*(Capital!H26/Capital!H$28),"n.a.")</f>
        <v>270.4207238655153</v>
      </c>
      <c r="I26" s="1001">
        <f>IF(Capital!I26&gt;0,100*(Capital!I26/Capital!I$28),"n.a.")</f>
        <v>251.84585311365541</v>
      </c>
      <c r="J26" s="1001">
        <f>IF(Capital!J26&gt;0,100*(Capital!J26/Capital!J$28),"n.a.")</f>
        <v>243.71229964956629</v>
      </c>
      <c r="K26" s="1001">
        <f>IF(Capital!K26&gt;0,100*(Capital!K26/Capital!K$28),"n.a.")</f>
        <v>230.39930644091999</v>
      </c>
      <c r="L26" s="1001">
        <f>IF(Capital!L26&gt;0,100*(Capital!L26/Capital!L$28),"n.a.")</f>
        <v>232.9024554846078</v>
      </c>
      <c r="M26" s="942" t="s">
        <v>788</v>
      </c>
    </row>
    <row r="27" spans="2:13" ht="15.75">
      <c r="B27" s="940"/>
      <c r="C27" s="998"/>
      <c r="D27" s="998"/>
      <c r="E27" s="998"/>
      <c r="F27" s="998"/>
      <c r="G27" s="998"/>
      <c r="H27" s="998"/>
      <c r="I27" s="998"/>
      <c r="J27" s="998"/>
      <c r="K27" s="998"/>
      <c r="L27" s="998"/>
      <c r="M27" s="940"/>
    </row>
    <row r="28" spans="2:13" ht="16.5" thickBot="1">
      <c r="B28" s="982" t="s">
        <v>820</v>
      </c>
      <c r="C28" s="1002">
        <f>IF(Capital!C28&gt;0,100*(Capital!C28/Capital!C$28),"n.a.")</f>
        <v>100</v>
      </c>
      <c r="D28" s="1002">
        <f>IF(Capital!D28&gt;0,100*(Capital!D28/Capital!D$28),"n.a.")</f>
        <v>100</v>
      </c>
      <c r="E28" s="1002">
        <f>IF(Capital!E28&gt;0,100*(Capital!E28/Capital!E$28),"n.a.")</f>
        <v>100</v>
      </c>
      <c r="F28" s="1002">
        <f>IF(Capital!F28&gt;0,100*(Capital!F28/Capital!F$28),"n.a.")</f>
        <v>100</v>
      </c>
      <c r="G28" s="1002">
        <f>IF(Capital!G28&gt;0,100*(Capital!G28/Capital!G$28),"n.a.")</f>
        <v>100</v>
      </c>
      <c r="H28" s="1002">
        <f>IF(Capital!H28&gt;0,100*(Capital!H28/Capital!H$28),"n.a.")</f>
        <v>100</v>
      </c>
      <c r="I28" s="1002">
        <f>IF(Capital!I28&gt;0,100*(Capital!I28/Capital!I$28),"n.a.")</f>
        <v>100</v>
      </c>
      <c r="J28" s="1002">
        <f>IF(Capital!J28&gt;0,100*(Capital!J28/Capital!J$28),"n.a.")</f>
        <v>100</v>
      </c>
      <c r="K28" s="1002">
        <f>IF(Capital!K28&gt;0,100*(Capital!K28/Capital!K$28),"n.a.")</f>
        <v>100</v>
      </c>
      <c r="L28" s="1002">
        <f>IF(Capital!L28&gt;0,100*(Capital!L28/Capital!L$28),"n.a.")</f>
        <v>100</v>
      </c>
      <c r="M28" s="982" t="s">
        <v>820</v>
      </c>
    </row>
    <row r="29" spans="2:13" ht="16.5" thickTop="1">
      <c r="B29" s="981"/>
      <c r="C29" s="998"/>
      <c r="D29" s="998"/>
      <c r="E29" s="998"/>
      <c r="F29" s="998"/>
      <c r="G29" s="998"/>
      <c r="H29" s="998"/>
      <c r="I29" s="998"/>
      <c r="J29" s="998"/>
      <c r="K29" s="998"/>
      <c r="L29" s="998"/>
      <c r="M29" s="981"/>
    </row>
    <row r="30" spans="2:13" ht="15.75">
      <c r="B30" s="940" t="s">
        <v>670</v>
      </c>
      <c r="C30" s="999">
        <f>IF(Capital!C30&gt;0,100*(Capital!C30/Capital!C$28),"n.a.")</f>
        <v>2.4643047317127542</v>
      </c>
      <c r="D30" s="999" t="str">
        <f>IF(Capital!D30&gt;0,100*(Capital!D30/Capital!D$28),"n.a.")</f>
        <v>n.a.</v>
      </c>
      <c r="E30" s="999" t="str">
        <f>IF(Capital!E30&gt;0,100*(Capital!E30/Capital!E$28),"n.a.")</f>
        <v>n.a.</v>
      </c>
      <c r="F30" s="999" t="str">
        <f>IF(Capital!F30&gt;0,100*(Capital!F30/Capital!F$28),"n.a.")</f>
        <v>n.a.</v>
      </c>
      <c r="G30" s="999" t="str">
        <f>IF(Capital!G30&gt;0,100*(Capital!G30/Capital!G$28),"n.a.")</f>
        <v>n.a.</v>
      </c>
      <c r="H30" s="999" t="str">
        <f>IF(Capital!H30&gt;0,100*(Capital!H30/Capital!H$28),"n.a.")</f>
        <v>n.a.</v>
      </c>
      <c r="I30" s="999" t="str">
        <f>IF(Capital!I30&gt;0,100*(Capital!I30/Capital!I$28),"n.a.")</f>
        <v>n.a.</v>
      </c>
      <c r="J30" s="999" t="str">
        <f>IF(Capital!J30&gt;0,100*(Capital!J30/Capital!J$28),"n.a.")</f>
        <v>n.a.</v>
      </c>
      <c r="K30" s="999" t="str">
        <f>IF(Capital!K30&gt;0,100*(Capital!K30/Capital!K$28),"n.a.")</f>
        <v>n.a.</v>
      </c>
      <c r="L30" s="999" t="str">
        <f>IF(Capital!L30&gt;0,100*(Capital!L30/Capital!L$28),"n.a.")</f>
        <v>n.a.</v>
      </c>
      <c r="M30" s="940" t="s">
        <v>670</v>
      </c>
    </row>
    <row r="31" spans="2:13" ht="15.75">
      <c r="B31" s="940"/>
      <c r="C31" s="998"/>
      <c r="D31" s="998"/>
      <c r="E31" s="998"/>
      <c r="F31" s="998"/>
      <c r="G31" s="998"/>
      <c r="H31" s="998"/>
      <c r="I31" s="998"/>
      <c r="J31" s="998"/>
      <c r="K31" s="998"/>
      <c r="L31" s="998"/>
      <c r="M31" s="940"/>
    </row>
    <row r="32" spans="2:13" ht="15.75">
      <c r="B32" s="944" t="s">
        <v>784</v>
      </c>
      <c r="C32" s="999">
        <f>IF(Capital!C32&gt;0,100*(Capital!C32/Capital!C$28),"n.a.")</f>
        <v>16.730028605748394</v>
      </c>
      <c r="D32" s="999">
        <f>IF(Capital!D32&gt;0,100*(Capital!D32/Capital!D$28),"n.a.")</f>
        <v>22.301019943538829</v>
      </c>
      <c r="E32" s="999">
        <f>IF(Capital!E32&gt;0,100*(Capital!E32/Capital!E$28),"n.a.")</f>
        <v>24.822907753244117</v>
      </c>
      <c r="F32" s="999">
        <f>IF(Capital!F32&gt;0,100*(Capital!F32/Capital!F$28),"n.a.")</f>
        <v>21.744035981174797</v>
      </c>
      <c r="G32" s="999">
        <f>IF(Capital!G32&gt;0,100*(Capital!G32/Capital!G$28),"n.a.")</f>
        <v>16.587671352601475</v>
      </c>
      <c r="H32" s="999">
        <f>IF(Capital!H32&gt;0,100*(Capital!H32/Capital!H$28),"n.a.")</f>
        <v>15.101965827668565</v>
      </c>
      <c r="I32" s="999">
        <f>IF(Capital!I32&gt;0,100*(Capital!I32/Capital!I$28),"n.a.")</f>
        <v>19.324211114213906</v>
      </c>
      <c r="J32" s="999">
        <f>IF(Capital!J32&gt;0,100*(Capital!J32/Capital!J$28),"n.a.")</f>
        <v>22.835640834147185</v>
      </c>
      <c r="K32" s="999">
        <f>IF(Capital!K32&gt;0,100*(Capital!K32/Capital!K$28),"n.a.")</f>
        <v>20.271303993064411</v>
      </c>
      <c r="L32" s="999">
        <f>IF(Capital!L32&gt;0,100*(Capital!L32/Capital!L$28),"n.a.")</f>
        <v>20.63541504438561</v>
      </c>
      <c r="M32" s="944" t="s">
        <v>784</v>
      </c>
    </row>
    <row r="33" spans="2:25" ht="15.75">
      <c r="B33" s="944" t="s">
        <v>692</v>
      </c>
      <c r="C33" s="999" t="str">
        <f>IF(Capital!C33&gt;0,100*(Capital!C33/Capital!C$28),"n.a.")</f>
        <v>n.a.</v>
      </c>
      <c r="D33" s="999" t="str">
        <f>IF(Capital!D33&gt;0,100*(Capital!D33/Capital!D$28),"n.a.")</f>
        <v>n.a.</v>
      </c>
      <c r="E33" s="999" t="str">
        <f>IF(Capital!E33&gt;0,100*(Capital!E33/Capital!E$28),"n.a.")</f>
        <v>n.a.</v>
      </c>
      <c r="F33" s="999" t="str">
        <f>IF(Capital!F33&gt;0,100*(Capital!F33/Capital!F$28),"n.a.")</f>
        <v>n.a.</v>
      </c>
      <c r="G33" s="999" t="str">
        <f>IF(Capital!G33&gt;0,100*(Capital!G33/Capital!G$28),"n.a.")</f>
        <v>n.a.</v>
      </c>
      <c r="H33" s="999" t="str">
        <f>IF(Capital!H33&gt;0,100*(Capital!H33/Capital!H$28),"n.a.")</f>
        <v>n.a.</v>
      </c>
      <c r="I33" s="999" t="str">
        <f>IF(Capital!I33&gt;0,100*(Capital!I33/Capital!I$28),"n.a.")</f>
        <v>n.a.</v>
      </c>
      <c r="J33" s="999" t="str">
        <f>IF(Capital!J33&gt;0,100*(Capital!J33/Capital!J$28),"n.a.")</f>
        <v>n.a.</v>
      </c>
      <c r="K33" s="999" t="str">
        <f>IF(Capital!K33&gt;0,100*(Capital!K33/Capital!K$28),"n.a.")</f>
        <v>n.a.</v>
      </c>
      <c r="L33" s="999">
        <f>IF(Capital!L33&gt;0,100*(Capital!L33/Capital!L$28),"n.a.")</f>
        <v>0.76831230857083532</v>
      </c>
      <c r="M33" s="944" t="s">
        <v>692</v>
      </c>
    </row>
    <row r="34" spans="2:25" ht="15.75">
      <c r="B34" s="940" t="s">
        <v>782</v>
      </c>
      <c r="C34" s="999">
        <f>IF(Capital!C34&gt;0,100*(Capital!C34/Capital!C$28),"n.a.")</f>
        <v>16.730028605748394</v>
      </c>
      <c r="D34" s="999">
        <f>IF(Capital!D34&gt;0,100*(Capital!D34/Capital!D$28),"n.a.")</f>
        <v>22.301019943538829</v>
      </c>
      <c r="E34" s="999">
        <f>IF(Capital!E34&gt;0,100*(Capital!E34/Capital!E$28),"n.a.")</f>
        <v>24.822907753244117</v>
      </c>
      <c r="F34" s="999">
        <f>IF(Capital!F34&gt;0,100*(Capital!F34/Capital!F$28),"n.a.")</f>
        <v>21.744035981174797</v>
      </c>
      <c r="G34" s="999">
        <f>IF(Capital!G34&gt;0,100*(Capital!G34/Capital!G$28),"n.a.")</f>
        <v>16.587671352601475</v>
      </c>
      <c r="H34" s="999">
        <f>IF(Capital!H34&gt;0,100*(Capital!H34/Capital!H$28),"n.a.")</f>
        <v>15.101965827668565</v>
      </c>
      <c r="I34" s="999">
        <f>IF(Capital!I34&gt;0,100*(Capital!I34/Capital!I$28),"n.a.")</f>
        <v>19.324211114213906</v>
      </c>
      <c r="J34" s="999">
        <f>IF(Capital!J34&gt;0,100*(Capital!J34/Capital!J$28),"n.a.")</f>
        <v>22.835640834147185</v>
      </c>
      <c r="K34" s="999">
        <f>IF(Capital!K34&gt;0,100*(Capital!K34/Capital!K$28),"n.a.")</f>
        <v>20.271303993064411</v>
      </c>
      <c r="L34" s="999">
        <f>IF(Capital!L34&gt;0,100*(Capital!L34/Capital!L$28),"n.a.")</f>
        <v>21.403727352956444</v>
      </c>
      <c r="M34" s="940" t="s">
        <v>782</v>
      </c>
    </row>
    <row r="35" spans="2:25" ht="15.75">
      <c r="B35" s="940"/>
      <c r="C35" s="998"/>
      <c r="D35" s="998"/>
      <c r="E35" s="998"/>
      <c r="F35" s="998"/>
      <c r="G35" s="998"/>
      <c r="H35" s="998"/>
      <c r="I35" s="998"/>
      <c r="J35" s="998"/>
      <c r="K35" s="998"/>
      <c r="L35" s="998"/>
      <c r="M35" s="940"/>
    </row>
    <row r="36" spans="2:25" ht="15" customHeight="1">
      <c r="B36" s="942" t="s">
        <v>822</v>
      </c>
      <c r="C36" s="1001">
        <f>IF(Capital!C36&gt;0,100*(Capital!C36/Capital!C$28),"n.a.")</f>
        <v>19.194333337461149</v>
      </c>
      <c r="D36" s="1001">
        <f>IF(Capital!D36&gt;0,100*(Capital!D36/Capital!D$28),"n.a.")</f>
        <v>22.301019943538829</v>
      </c>
      <c r="E36" s="1001">
        <f>IF(Capital!E36&gt;0,100*(Capital!E36/Capital!E$28),"n.a.")</f>
        <v>24.822907753244117</v>
      </c>
      <c r="F36" s="1001">
        <f>IF(Capital!F36&gt;0,100*(Capital!F36/Capital!F$28),"n.a.")</f>
        <v>21.744035981174797</v>
      </c>
      <c r="G36" s="1001">
        <f>IF(Capital!G36&gt;0,100*(Capital!G36/Capital!G$28),"n.a.")</f>
        <v>16.587671352601475</v>
      </c>
      <c r="H36" s="1001">
        <f>IF(Capital!H36&gt;0,100*(Capital!H36/Capital!H$28),"n.a.")</f>
        <v>15.101965827668565</v>
      </c>
      <c r="I36" s="1001">
        <f>IF(Capital!I36&gt;0,100*(Capital!I36/Capital!I$28),"n.a.")</f>
        <v>19.324211114213906</v>
      </c>
      <c r="J36" s="1001">
        <f>IF(Capital!J36&gt;0,100*(Capital!J36/Capital!J$28),"n.a.")</f>
        <v>22.835640834147185</v>
      </c>
      <c r="K36" s="1001">
        <f>IF(Capital!K36&gt;0,100*(Capital!K36/Capital!K$28),"n.a.")</f>
        <v>20.271303993064411</v>
      </c>
      <c r="L36" s="1001">
        <f>IF(Capital!L36&gt;0,100*(Capital!L36/Capital!L$28),"n.a.")</f>
        <v>17.048227171260965</v>
      </c>
      <c r="M36" s="942" t="s">
        <v>822</v>
      </c>
    </row>
    <row r="37" spans="2:25" ht="15.75">
      <c r="B37" s="981"/>
      <c r="C37" s="999"/>
      <c r="D37" s="999"/>
      <c r="E37" s="999"/>
      <c r="F37" s="999"/>
      <c r="G37" s="999"/>
      <c r="H37" s="999"/>
      <c r="I37" s="999"/>
      <c r="J37" s="999"/>
      <c r="K37" s="999"/>
      <c r="L37" s="1000"/>
      <c r="M37" s="981"/>
    </row>
    <row r="38" spans="2:25" ht="15.75">
      <c r="B38" s="940" t="s">
        <v>821</v>
      </c>
      <c r="C38" s="999">
        <f>IF(Capital!C38&gt;0,100*(Capital!C38/Capital!C$28),"n.a.")</f>
        <v>80.805666662538869</v>
      </c>
      <c r="D38" s="999">
        <f>IF(Capital!D38&gt;0,100*(Capital!D38/Capital!D$28),"n.a.")</f>
        <v>77.698980056461124</v>
      </c>
      <c r="E38" s="999">
        <f>IF(Capital!E38&gt;0,100*(Capital!E38/Capital!E$28),"n.a.")</f>
        <v>75.177092246755876</v>
      </c>
      <c r="F38" s="999">
        <f>IF(Capital!F38&gt;0,100*(Capital!F38/Capital!F$28),"n.a.")</f>
        <v>78.25596401882521</v>
      </c>
      <c r="G38" s="999">
        <f>IF(Capital!G38&gt;0,100*(Capital!G38/Capital!G$28),"n.a.")</f>
        <v>83.412328647398553</v>
      </c>
      <c r="H38" s="999">
        <f>IF(Capital!H38&gt;0,100*(Capital!H38/Capital!H$28),"n.a.")</f>
        <v>84.898034172331435</v>
      </c>
      <c r="I38" s="999">
        <f>IF(Capital!I38&gt;0,100*(Capital!I38/Capital!I$28),"n.a.")</f>
        <v>80.675788885786091</v>
      </c>
      <c r="J38" s="999">
        <f>IF(Capital!J38&gt;0,100*(Capital!J38/Capital!J$28),"n.a.")</f>
        <v>77.164359165852815</v>
      </c>
      <c r="K38" s="999">
        <f>IF(Capital!K38&gt;0,100*(Capital!K38/Capital!K$28),"n.a.")</f>
        <v>79.728696006935593</v>
      </c>
      <c r="L38" s="999">
        <f>IF(Capital!L38&gt;0,100*(Capital!L38/Capital!L$28),"n.a.")</f>
        <v>82.951772828739038</v>
      </c>
      <c r="M38" s="940" t="s">
        <v>821</v>
      </c>
    </row>
    <row r="39" spans="2:25" ht="18">
      <c r="B39" s="940"/>
      <c r="C39" s="998"/>
      <c r="D39" s="998"/>
      <c r="E39" s="998"/>
      <c r="F39" s="998"/>
      <c r="G39" s="998"/>
      <c r="H39" s="998"/>
      <c r="I39" s="998"/>
      <c r="J39" s="998"/>
      <c r="K39" s="998"/>
      <c r="L39" s="998"/>
      <c r="M39" s="940"/>
      <c r="O39" s="970"/>
      <c r="P39" s="970"/>
      <c r="Q39" s="970"/>
      <c r="R39" s="970"/>
      <c r="S39" s="970"/>
      <c r="T39" s="970"/>
      <c r="U39" s="970"/>
      <c r="V39" s="970"/>
      <c r="W39" s="970"/>
      <c r="X39" s="970"/>
      <c r="Y39" s="970"/>
    </row>
    <row r="40" spans="2:25" ht="18.75" thickBot="1">
      <c r="B40" s="976" t="s">
        <v>820</v>
      </c>
      <c r="C40" s="997">
        <f>IF(Capital!C40&gt;0,100*(Capital!C40/Capital!C$28),"n.a.")</f>
        <v>100.00000000000003</v>
      </c>
      <c r="D40" s="997">
        <f>IF(Capital!D40&gt;0,100*(Capital!D40/Capital!D$28),"n.a.")</f>
        <v>99.999999999999957</v>
      </c>
      <c r="E40" s="997">
        <f>IF(Capital!E40&gt;0,100*(Capital!E40/Capital!E$28),"n.a.")</f>
        <v>99.999999999999986</v>
      </c>
      <c r="F40" s="997">
        <f>IF(Capital!F40&gt;0,100*(Capital!F40/Capital!F$28),"n.a.")</f>
        <v>100</v>
      </c>
      <c r="G40" s="997">
        <f>IF(Capital!G40&gt;0,100*(Capital!G40/Capital!G$28),"n.a.")</f>
        <v>100.00000000000003</v>
      </c>
      <c r="H40" s="997">
        <f>IF(Capital!H40&gt;0,100*(Capital!H40/Capital!H$28),"n.a.")</f>
        <v>100</v>
      </c>
      <c r="I40" s="997">
        <f>IF(Capital!I40&gt;0,100*(Capital!I40/Capital!I$28),"n.a.")</f>
        <v>100</v>
      </c>
      <c r="J40" s="997">
        <f>IF(Capital!J40&gt;0,100*(Capital!J40/Capital!J$28),"n.a.")</f>
        <v>100</v>
      </c>
      <c r="K40" s="997">
        <f>IF(Capital!K40&gt;0,100*(Capital!K40/Capital!K$28),"n.a.")</f>
        <v>100</v>
      </c>
      <c r="L40" s="997">
        <f>IF(Capital!L40&gt;0,100*(Capital!L40/Capital!L$28),"n.a.")</f>
        <v>100</v>
      </c>
      <c r="M40" s="976" t="s">
        <v>820</v>
      </c>
      <c r="O40" s="970"/>
      <c r="P40" s="970"/>
      <c r="Q40" s="970"/>
      <c r="R40" s="970"/>
      <c r="S40" s="970"/>
      <c r="T40" s="970"/>
      <c r="U40" s="970"/>
      <c r="V40" s="970"/>
      <c r="W40" s="970"/>
      <c r="X40" s="970"/>
      <c r="Y40" s="970"/>
    </row>
    <row r="41" spans="2:25" ht="18">
      <c r="B41" s="975"/>
      <c r="C41" s="974"/>
      <c r="D41" s="974"/>
      <c r="E41" s="974"/>
      <c r="F41" s="974"/>
      <c r="G41" s="974"/>
      <c r="H41" s="974"/>
      <c r="I41" s="974"/>
      <c r="J41" s="974"/>
      <c r="K41" s="974"/>
      <c r="L41" s="974"/>
      <c r="M41" s="973"/>
      <c r="O41" s="970"/>
      <c r="P41" s="970"/>
      <c r="Q41" s="970"/>
      <c r="R41" s="970"/>
      <c r="S41" s="970"/>
      <c r="T41" s="970"/>
      <c r="U41" s="970"/>
      <c r="V41" s="970"/>
      <c r="W41" s="970"/>
      <c r="X41" s="970"/>
      <c r="Y41" s="970"/>
    </row>
    <row r="42" spans="2:25" ht="18">
      <c r="B42" s="1286" t="s">
        <v>825</v>
      </c>
      <c r="C42" s="1287"/>
      <c r="D42" s="1287"/>
      <c r="E42" s="1287"/>
      <c r="F42" s="1287"/>
      <c r="G42" s="1287"/>
      <c r="H42" s="1287"/>
      <c r="I42" s="1287"/>
      <c r="J42" s="1287"/>
      <c r="K42" s="1287"/>
      <c r="L42" s="1287"/>
      <c r="M42" s="1288"/>
      <c r="O42" s="970"/>
      <c r="P42" s="970"/>
      <c r="Q42" s="970"/>
      <c r="R42" s="970"/>
      <c r="S42" s="970"/>
      <c r="T42" s="970"/>
      <c r="U42" s="970"/>
      <c r="V42" s="970"/>
      <c r="W42" s="970"/>
      <c r="X42" s="970"/>
      <c r="Y42" s="970"/>
    </row>
    <row r="43" spans="2:25" ht="18.75" thickBot="1">
      <c r="B43" s="1316"/>
      <c r="C43" s="1317"/>
      <c r="D43" s="1317"/>
      <c r="E43" s="1317"/>
      <c r="F43" s="1317"/>
      <c r="G43" s="1317"/>
      <c r="H43" s="1317"/>
      <c r="I43" s="1317"/>
      <c r="J43" s="1317"/>
      <c r="K43" s="1317"/>
      <c r="L43" s="1317"/>
      <c r="M43" s="1318"/>
      <c r="O43" s="970"/>
      <c r="P43" s="970"/>
      <c r="Q43" s="970"/>
      <c r="R43" s="970"/>
      <c r="S43" s="970"/>
      <c r="T43" s="970"/>
      <c r="U43" s="970"/>
      <c r="V43" s="970"/>
      <c r="W43" s="970"/>
      <c r="X43" s="970"/>
      <c r="Y43" s="970"/>
    </row>
    <row r="44" spans="2:25" ht="18">
      <c r="B44" s="952"/>
      <c r="C44" s="952"/>
      <c r="D44" s="952"/>
      <c r="E44" s="952"/>
      <c r="F44" s="952"/>
      <c r="G44" s="952"/>
      <c r="H44" s="952"/>
      <c r="I44" s="952"/>
      <c r="J44" s="952"/>
      <c r="K44" s="952"/>
      <c r="L44" s="952"/>
      <c r="M44" s="952"/>
      <c r="O44" s="970"/>
      <c r="P44" s="970"/>
      <c r="Q44" s="970"/>
      <c r="R44" s="970"/>
      <c r="S44" s="970"/>
      <c r="T44" s="970"/>
      <c r="U44" s="970"/>
      <c r="V44" s="970"/>
      <c r="W44" s="970"/>
      <c r="X44" s="970"/>
      <c r="Y44" s="970"/>
    </row>
    <row r="45" spans="2:25" ht="18">
      <c r="O45" s="970"/>
      <c r="P45" s="970"/>
      <c r="Q45" s="970"/>
      <c r="R45" s="970"/>
      <c r="S45" s="970"/>
      <c r="T45" s="970"/>
      <c r="U45" s="970"/>
      <c r="V45" s="970"/>
      <c r="W45" s="970"/>
      <c r="X45" s="970"/>
      <c r="Y45" s="970"/>
    </row>
    <row r="46" spans="2:25" ht="18">
      <c r="O46" s="970"/>
      <c r="P46" s="970"/>
      <c r="Q46" s="970"/>
      <c r="R46" s="970"/>
      <c r="S46" s="970"/>
      <c r="T46" s="970"/>
      <c r="U46" s="970"/>
      <c r="V46" s="970"/>
      <c r="W46" s="970"/>
      <c r="X46" s="970"/>
      <c r="Y46" s="970"/>
    </row>
    <row r="47" spans="2:25" ht="18">
      <c r="O47" s="970"/>
      <c r="P47" s="970"/>
      <c r="Q47" s="970"/>
      <c r="R47" s="970"/>
      <c r="S47" s="970"/>
      <c r="T47" s="970"/>
      <c r="U47" s="970"/>
      <c r="V47" s="970"/>
      <c r="W47" s="970"/>
      <c r="X47" s="970"/>
      <c r="Y47" s="970"/>
    </row>
    <row r="48" spans="2:25" ht="18">
      <c r="O48" s="970"/>
      <c r="P48" s="970"/>
      <c r="Q48" s="970"/>
      <c r="R48" s="970"/>
      <c r="S48" s="970"/>
      <c r="T48" s="970"/>
      <c r="U48" s="970"/>
      <c r="V48" s="970"/>
      <c r="W48" s="970"/>
      <c r="X48" s="970"/>
      <c r="Y48" s="970"/>
    </row>
    <row r="60" spans="15:15" ht="15.25">
      <c r="O60" s="953"/>
    </row>
    <row r="61" spans="15:15" ht="15.25">
      <c r="O61" s="952"/>
    </row>
    <row r="62" spans="15:15" ht="15.25">
      <c r="O62" s="953"/>
    </row>
    <row r="73" spans="15:15" ht="15.25">
      <c r="O73" s="953"/>
    </row>
    <row r="151" spans="3:10">
      <c r="C151" s="969"/>
      <c r="D151" s="969"/>
      <c r="E151" s="969"/>
      <c r="F151" s="969"/>
      <c r="G151" s="969"/>
      <c r="H151" s="969"/>
      <c r="I151" s="969"/>
      <c r="J151" s="969"/>
    </row>
    <row r="152" spans="3:10">
      <c r="C152" s="969"/>
      <c r="D152" s="969"/>
      <c r="E152" s="969"/>
      <c r="F152" s="969"/>
      <c r="G152" s="969"/>
      <c r="H152" s="969"/>
      <c r="I152" s="969"/>
      <c r="J152" s="969"/>
    </row>
    <row r="167" spans="2:13" ht="15.25">
      <c r="B167" s="953"/>
      <c r="C167" s="968" t="s">
        <v>297</v>
      </c>
      <c r="D167" s="968" t="s">
        <v>297</v>
      </c>
      <c r="E167" s="968" t="s">
        <v>297</v>
      </c>
      <c r="F167" s="968" t="s">
        <v>297</v>
      </c>
      <c r="G167" s="968" t="s">
        <v>252</v>
      </c>
      <c r="H167" s="968" t="s">
        <v>297</v>
      </c>
      <c r="I167" s="968" t="s">
        <v>297</v>
      </c>
      <c r="J167" s="968" t="s">
        <v>297</v>
      </c>
      <c r="K167" s="953" t="s">
        <v>297</v>
      </c>
      <c r="L167" s="953"/>
      <c r="M167" s="953"/>
    </row>
    <row r="168" spans="2:13" ht="15.25">
      <c r="B168" s="953"/>
      <c r="C168" s="953"/>
      <c r="D168" s="953"/>
      <c r="E168" s="953"/>
      <c r="F168" s="953"/>
      <c r="G168" s="953"/>
      <c r="H168" s="953"/>
      <c r="I168" s="953"/>
      <c r="J168" s="953"/>
      <c r="K168" s="953"/>
      <c r="L168" s="953"/>
    </row>
  </sheetData>
  <customSheetViews>
    <customSheetView guid="{5A4827F7-D52D-44AD-B257-2AB13F875B96}" scale="75">
      <selection activeCell="C34" activeCellId="1" sqref="A33 C34"/>
      <pageMargins left="0.25" right="0.25" top="0.5" bottom="0.5" header="0.5" footer="0.5"/>
      <printOptions horizontalCentered="1"/>
      <pageSetup scale="95" orientation="landscape" r:id="rId1"/>
      <headerFooter alignWithMargins="0"/>
    </customSheetView>
  </customSheetViews>
  <mergeCells count="5">
    <mergeCell ref="B3:M3"/>
    <mergeCell ref="B4:M4"/>
    <mergeCell ref="B5:M5"/>
    <mergeCell ref="B42:M42"/>
    <mergeCell ref="B43:M43"/>
  </mergeCells>
  <printOptions horizontalCentered="1"/>
  <pageMargins left="0.25" right="0.25" top="0.5" bottom="0.5" header="0.5" footer="0.5"/>
  <pageSetup scale="95" orientation="landscape" r:id="rId2"/>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B2:M39"/>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2" width="11.81640625" style="903"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950</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IF('Income Statement'!$C8&gt;0,100*('Income Statement'!C8/'Income Statement'!$C8),"n.a.")</f>
        <v>100</v>
      </c>
      <c r="D8" s="1058">
        <f>IF('Income Statement'!$C8&gt;0,100*('Income Statement'!D8/'Income Statement'!$C8),"n.a.")</f>
        <v>118.89464865430936</v>
      </c>
      <c r="E8" s="1057">
        <f>IF('Income Statement'!$C8&gt;0,100*('Income Statement'!E8/'Income Statement'!$C8),"n.a.")</f>
        <v>148.04691590742485</v>
      </c>
      <c r="F8" s="1057">
        <f>IF('Income Statement'!$C8&gt;0,100*('Income Statement'!F8/'Income Statement'!$C8),"n.a.")</f>
        <v>169.63818200858728</v>
      </c>
      <c r="G8" s="1057">
        <f>IF('Income Statement'!$C8&gt;0,100*('Income Statement'!G8/'Income Statement'!$C8),"n.a.")</f>
        <v>179.3224421405383</v>
      </c>
      <c r="H8" s="1060">
        <f>IF('Income Statement'!$C8&gt;0,100*('Income Statement'!H8/'Income Statement'!$C8),"n.a.")</f>
        <v>180.09739239710964</v>
      </c>
      <c r="I8" s="1060">
        <f>IF('Income Statement'!$C8&gt;0,100*('Income Statement'!I8/'Income Statement'!$C8),"n.a.")</f>
        <v>179.77013299821971</v>
      </c>
      <c r="J8" s="1060">
        <f>IF('Income Statement'!$C8&gt;0,100*('Income Statement'!J8/'Income Statement'!$C8),"n.a.")</f>
        <v>177.92438998848047</v>
      </c>
      <c r="K8" s="1060">
        <f>IF('Income Statement'!$C8&gt;0,100*('Income Statement'!K8/'Income Statement'!$C8),"n.a.")</f>
        <v>170.08325479107759</v>
      </c>
      <c r="L8" s="1060">
        <f>IF('Income Statement'!$C8&gt;0,100*('Income Statement'!L8/'Income Statement'!$C8),"n.a.")</f>
        <v>175.56812231647294</v>
      </c>
      <c r="M8" s="995" t="str">
        <f t="shared" ref="M8:M19" si="1">B8</f>
        <v>Operating Rev*</v>
      </c>
    </row>
    <row r="9" spans="2:13" ht="19.5" customHeight="1">
      <c r="B9" s="940" t="str">
        <f>'Income Statement'!B9</f>
        <v>COGS**</v>
      </c>
      <c r="C9" s="1058">
        <f>IF('Income Statement'!$C9&gt;0,100*('Income Statement'!C9/'Income Statement'!$C9),"n.a.")</f>
        <v>100</v>
      </c>
      <c r="D9" s="1058">
        <f>IF('Income Statement'!$C9&gt;0,100*('Income Statement'!D9/'Income Statement'!$C9),"n.a.")</f>
        <v>114.21838177533388</v>
      </c>
      <c r="E9" s="1057">
        <f>IF('Income Statement'!$C9&gt;0,100*('Income Statement'!E9/'Income Statement'!$C9),"n.a.")</f>
        <v>131.89877679272811</v>
      </c>
      <c r="F9" s="1057">
        <f>IF('Income Statement'!$C9&gt;0,100*('Income Statement'!F9/'Income Statement'!$C9),"n.a.")</f>
        <v>142.5793962518236</v>
      </c>
      <c r="G9" s="1057">
        <f>IF('Income Statement'!$C9&gt;0,100*('Income Statement'!G9/'Income Statement'!$C9),"n.a.")</f>
        <v>150.71119964089328</v>
      </c>
      <c r="H9" s="1060">
        <f>IF('Income Statement'!$C9&gt;0,100*('Income Statement'!H9/'Income Statement'!$C9),"n.a.")</f>
        <v>133.16406688362699</v>
      </c>
      <c r="I9" s="1060">
        <f>IF('Income Statement'!$C9&gt;0,100*('Income Statement'!I9/'Income Statement'!$C9),"n.a.")</f>
        <v>131.73325103804288</v>
      </c>
      <c r="J9" s="1060">
        <f>IF('Income Statement'!$C9&gt;0,100*('Income Statement'!J9/'Income Statement'!$C9),"n.a.")</f>
        <v>140.57064302547414</v>
      </c>
      <c r="K9" s="1060">
        <f>IF('Income Statement'!$C9&gt;0,100*('Income Statement'!K9/'Income Statement'!$C9),"n.a.")</f>
        <v>130.30243519245877</v>
      </c>
      <c r="L9" s="1060">
        <f>IF('Income Statement'!$C9&gt;0,100*('Income Statement'!L9/'Income Statement'!$C9),"n.a.")</f>
        <v>140.20592526091349</v>
      </c>
      <c r="M9" s="940" t="str">
        <f t="shared" si="1"/>
        <v>COGS**</v>
      </c>
    </row>
    <row r="10" spans="2:13" ht="19.5" customHeight="1">
      <c r="B10" s="942" t="s">
        <v>13</v>
      </c>
      <c r="C10" s="1062">
        <f>IF('Income Statement'!$C10&gt;0,100*('Income Statement'!C10/'Income Statement'!$C10),"n.a.")</f>
        <v>100</v>
      </c>
      <c r="D10" s="1062">
        <f>IF('Income Statement'!$C10&gt;0,100*('Income Statement'!D10/'Income Statement'!$C10),"n.a.")</f>
        <v>184.20846394984304</v>
      </c>
      <c r="E10" s="1059">
        <f>IF('Income Statement'!$C10&gt;0,100*('Income Statement'!E10/'Income Statement'!$C10),"n.a.")</f>
        <v>373.58934169278945</v>
      </c>
      <c r="F10" s="1059">
        <f>IF('Income Statement'!$C10&gt;0,100*('Income Statement'!F10/'Income Statement'!$C10),"n.a.")</f>
        <v>547.57053291535976</v>
      </c>
      <c r="G10" s="1059">
        <f>IF('Income Statement'!$C10&gt;0,100*('Income Statement'!G10/'Income Statement'!$C10),"n.a.")</f>
        <v>578.93808777429433</v>
      </c>
      <c r="H10" s="1059">
        <f>IF('Income Statement'!$C10&gt;0,100*('Income Statement'!H10/'Income Statement'!$C10),"n.a.")</f>
        <v>835.61912225705248</v>
      </c>
      <c r="I10" s="1059">
        <f>IF('Income Statement'!$C10&gt;0,100*('Income Statement'!I10/'Income Statement'!$C10),"n.a.")</f>
        <v>850.70532915360411</v>
      </c>
      <c r="J10" s="1059">
        <f>IF('Income Statement'!$C10&gt;0,100*('Income Statement'!J10/'Income Statement'!$C10),"n.a.")</f>
        <v>699.64733542319675</v>
      </c>
      <c r="K10" s="1059">
        <f>IF('Income Statement'!$C10&gt;0,100*('Income Statement'!K10/'Income Statement'!$C10),"n.a.")</f>
        <v>725.70532915360423</v>
      </c>
      <c r="L10" s="1059">
        <f>IF('Income Statement'!$C10&gt;0,100*('Income Statement'!L10/'Income Statement'!$C10),"n.a.")</f>
        <v>669.47492163009338</v>
      </c>
      <c r="M10" s="942" t="str">
        <f t="shared" si="1"/>
        <v>Gross profit</v>
      </c>
    </row>
    <row r="11" spans="2:13" ht="19.5" customHeight="1">
      <c r="B11" s="940" t="str">
        <f>'Income Statement'!B11</f>
        <v>SG&amp;A</v>
      </c>
      <c r="C11" s="1058">
        <f>IF('Income Statement'!$C11&gt;0,100*('Income Statement'!C11/'Income Statement'!$C11),"n.a.")</f>
        <v>100</v>
      </c>
      <c r="D11" s="1058">
        <f>IF('Income Statement'!$C11&gt;0,100*('Income Statement'!D11/'Income Statement'!$C11),"n.a.")</f>
        <v>113.28200192492784</v>
      </c>
      <c r="E11" s="1057">
        <f>IF('Income Statement'!$C11&gt;0,100*('Income Statement'!E11/'Income Statement'!$C11),"n.a.")</f>
        <v>169.82675649663136</v>
      </c>
      <c r="F11" s="1057">
        <f>IF('Income Statement'!$C11&gt;0,100*('Income Statement'!F11/'Income Statement'!$C11),"n.a.")</f>
        <v>151.44369586140522</v>
      </c>
      <c r="G11" s="1057">
        <f>IF('Income Statement'!$C11&gt;0,100*('Income Statement'!G11/'Income Statement'!$C11),"n.a.")</f>
        <v>182.53128007699709</v>
      </c>
      <c r="H11" s="1060">
        <f>IF('Income Statement'!$C11&gt;0,100*('Income Statement'!H11/'Income Statement'!$C11),"n.a.")</f>
        <v>209.33589990375361</v>
      </c>
      <c r="I11" s="1060">
        <f>IF('Income Statement'!$C11&gt;0,100*('Income Statement'!I11/'Income Statement'!$C11),"n.a.")</f>
        <v>161.21270452358038</v>
      </c>
      <c r="J11" s="1060">
        <f>IF('Income Statement'!$C11&gt;0,100*('Income Statement'!J11/'Income Statement'!$C11),"n.a.")</f>
        <v>169.39364773820984</v>
      </c>
      <c r="K11" s="1060">
        <f>IF('Income Statement'!$C11&gt;0,100*('Income Statement'!K11/'Income Statement'!$C11),"n.a.")</f>
        <v>167.94995187680465</v>
      </c>
      <c r="L11" s="1060">
        <f>IF('Income Statement'!$C11&gt;0,100*('Income Statement'!L11/'Income Statement'!$C11),"n.a.")</f>
        <v>167.46871992300291</v>
      </c>
      <c r="M11" s="940" t="str">
        <f t="shared" si="1"/>
        <v>SG&amp;A</v>
      </c>
    </row>
    <row r="12" spans="2:13" ht="19.5" customHeight="1">
      <c r="B12" s="940" t="str">
        <f>'Income Statement'!B12</f>
        <v>R&amp;D</v>
      </c>
      <c r="C12" s="1058" t="str">
        <f>IF('Income Statement'!$C12&gt;0,100*('Income Statement'!C12/'Income Statement'!$C12),"n.a.")</f>
        <v>n.a.</v>
      </c>
      <c r="D12" s="1058" t="str">
        <f>IF('Income Statement'!$C12&gt;0,100*('Income Statement'!D12/'Income Statement'!$C12),"n.a.")</f>
        <v>n.a.</v>
      </c>
      <c r="E12" s="1057" t="str">
        <f>IF('Income Statement'!$C12&gt;0,100*('Income Statement'!E12/'Income Statement'!$C12),"n.a.")</f>
        <v>n.a.</v>
      </c>
      <c r="F12" s="1057" t="str">
        <f>IF('Income Statement'!$C12&gt;0,100*('Income Statement'!F12/'Income Statement'!$C12),"n.a.")</f>
        <v>n.a.</v>
      </c>
      <c r="G12" s="1057" t="str">
        <f>IF('Income Statement'!$C12&gt;0,100*('Income Statement'!G12/'Income Statement'!$C12),"n.a.")</f>
        <v>n.a.</v>
      </c>
      <c r="H12" s="1060" t="str">
        <f>IF('Income Statement'!$C12&gt;0,100*('Income Statement'!H12/'Income Statement'!$C12),"n.a.")</f>
        <v>n.a.</v>
      </c>
      <c r="I12" s="1060" t="str">
        <f>IF('Income Statement'!$C12&gt;0,100*('Income Statement'!I12/'Income Statement'!$C12),"n.a.")</f>
        <v>n.a.</v>
      </c>
      <c r="J12" s="1060" t="str">
        <f>IF('Income Statement'!$C12&gt;0,100*('Income Statement'!J12/'Income Statement'!$C12),"n.a.")</f>
        <v>n.a.</v>
      </c>
      <c r="K12" s="1060" t="str">
        <f>IF('Income Statement'!$C12&gt;0,100*('Income Statement'!K12/'Income Statement'!$C12),"n.a.")</f>
        <v>n.a.</v>
      </c>
      <c r="L12" s="1060" t="str">
        <f>IF('Income Statement'!$C12&gt;0,100*('Income Statement'!L12/'Income Statement'!$C12),"n.a.")</f>
        <v>n.a.</v>
      </c>
      <c r="M12" s="940" t="str">
        <f t="shared" si="1"/>
        <v>R&amp;D</v>
      </c>
    </row>
    <row r="13" spans="2:13" ht="19.5" customHeight="1">
      <c r="B13" s="940" t="str">
        <f>'Income Statement'!B13</f>
        <v>Other Op Costs</v>
      </c>
      <c r="C13" s="1061">
        <f>IF('Income Statement'!$C13&gt;0,100*('Income Statement'!C13/'Income Statement'!$C13),"n.a.")</f>
        <v>100</v>
      </c>
      <c r="D13" s="1061">
        <f>IF('Income Statement'!$C13&gt;0,100*('Income Statement'!D13/'Income Statement'!$C13),"n.a.")</f>
        <v>122.9002896152255</v>
      </c>
      <c r="E13" s="1064">
        <f>IF('Income Statement'!$C13&gt;0,100*('Income Statement'!E13/'Income Statement'!$C13),"n.a.")</f>
        <v>145.77989242863055</v>
      </c>
      <c r="F13" s="1064">
        <f>IF('Income Statement'!$C13&gt;0,100*('Income Statement'!F13/'Income Statement'!$C13),"n.a.")</f>
        <v>130.34753827058339</v>
      </c>
      <c r="G13" s="1064">
        <f>IF('Income Statement'!$C13&gt;0,100*('Income Statement'!G13/'Income Statement'!$C13),"n.a.")</f>
        <v>105.93711212246588</v>
      </c>
      <c r="H13" s="1063">
        <f>IF('Income Statement'!$C13&gt;0,100*('Income Statement'!H13/'Income Statement'!$C13),"n.a.")</f>
        <v>113.77741001241208</v>
      </c>
      <c r="I13" s="1063">
        <f>IF('Income Statement'!$C13&gt;0,100*('Income Statement'!I13/'Income Statement'!$C13),"n.a.")</f>
        <v>91.849400082747209</v>
      </c>
      <c r="J13" s="1063">
        <f>IF('Income Statement'!$C13&gt;0,100*('Income Statement'!J13/'Income Statement'!$C13),"n.a.")</f>
        <v>91.228796028134056</v>
      </c>
      <c r="K13" s="1063">
        <f>IF('Income Statement'!$C13&gt;0,100*('Income Statement'!K13/'Income Statement'!$C13),"n.a.")</f>
        <v>86.057095573024412</v>
      </c>
      <c r="L13" s="1063">
        <f>IF('Income Statement'!$C13&gt;0,100*('Income Statement'!L13/'Income Statement'!$C13),"n.a.")</f>
        <v>87.298303682250733</v>
      </c>
      <c r="M13" s="940" t="str">
        <f t="shared" si="1"/>
        <v>Other Op Costs</v>
      </c>
    </row>
    <row r="14" spans="2:13" ht="19.5" customHeight="1">
      <c r="B14" s="942" t="s">
        <v>949</v>
      </c>
      <c r="C14" s="1062" t="str">
        <f>IF('Income Statement'!$C14&gt;0,100*('Income Statement'!C14/'Income Statement'!$C14),"n.a.")</f>
        <v>n.a.</v>
      </c>
      <c r="D14" s="1062">
        <f>IF('Income Statement'!$D14&gt;0,100*('Income Statement'!D14/'Income Statement'!$D14),"n.a.")</f>
        <v>100</v>
      </c>
      <c r="E14" s="1062">
        <f>IF('Income Statement'!$D14&gt;0,100*('Income Statement'!E14/'Income Statement'!$D14),"n.a.")</f>
        <v>767.11833785004569</v>
      </c>
      <c r="F14" s="1062">
        <f>IF('Income Statement'!$D14&gt;0,100*('Income Statement'!F14/'Income Statement'!$D14),"n.a.")</f>
        <v>1671.183378500454</v>
      </c>
      <c r="G14" s="1062">
        <f>IF('Income Statement'!$D14&gt;0,100*('Income Statement'!G14/'Income Statement'!$D14),"n.a.")</f>
        <v>1864.0469738030756</v>
      </c>
      <c r="H14" s="1062">
        <f>IF('Income Statement'!$D14&gt;0,100*('Income Statement'!H14/'Income Statement'!$D14),"n.a.")</f>
        <v>2962.962962962968</v>
      </c>
      <c r="I14" s="1062">
        <f>IF('Income Statement'!$D14&gt;0,100*('Income Statement'!I14/'Income Statement'!$D14),"n.a.")</f>
        <v>3218.6088527551997</v>
      </c>
      <c r="J14" s="1062">
        <f>IF('Income Statement'!$D14&gt;0,100*('Income Statement'!J14/'Income Statement'!$D14),"n.a.")</f>
        <v>2509.4850948509529</v>
      </c>
      <c r="K14" s="1062">
        <f>IF('Income Statement'!$D14&gt;0,100*('Income Statement'!K14/'Income Statement'!$D14),"n.a.")</f>
        <v>2654.9232158988298</v>
      </c>
      <c r="L14" s="1062">
        <f>IF('Income Statement'!$D14&gt;0,100*('Income Statement'!L14/'Income Statement'!$D14),"n.a.")</f>
        <v>2391.1472448057852</v>
      </c>
      <c r="M14" s="942" t="str">
        <f t="shared" si="1"/>
        <v>Op Inc (2002 base)</v>
      </c>
    </row>
    <row r="15" spans="2:13" ht="19.5" customHeight="1">
      <c r="B15" s="940" t="str">
        <f>'Income Statement'!B15</f>
        <v>Int***</v>
      </c>
      <c r="C15" s="1061" t="str">
        <f>IF('Income Statement'!$C15&gt;0,100*('Income Statement'!C15/'Income Statement'!$C15),"n.a.")</f>
        <v>n.a.</v>
      </c>
      <c r="D15" s="1058" t="str">
        <f>IF('Income Statement'!$D15&gt;0,100*('Income Statement'!D15/'Income Statement'!$D15),"n.a.")</f>
        <v>n.a.</v>
      </c>
      <c r="E15" s="1057" t="str">
        <f>IF('Income Statement'!$D15&gt;0,100*('Income Statement'!E15/'Income Statement'!$D15),"n.a.")</f>
        <v>n.a.</v>
      </c>
      <c r="F15" s="1057" t="str">
        <f>IF('Income Statement'!$D15&gt;0,100*('Income Statement'!F15/'Income Statement'!$D15),"n.a.")</f>
        <v>n.a.</v>
      </c>
      <c r="G15" s="1057" t="str">
        <f>IF('Income Statement'!$D15&gt;0,100*('Income Statement'!G15/'Income Statement'!$D15),"n.a.")</f>
        <v>n.a.</v>
      </c>
      <c r="H15" s="1060" t="str">
        <f>IF('Income Statement'!$D15&gt;0,100*('Income Statement'!H15/'Income Statement'!$D15),"n.a.")</f>
        <v>n.a.</v>
      </c>
      <c r="I15" s="1060" t="str">
        <f>IF('Income Statement'!$D15&gt;0,100*('Income Statement'!I15/'Income Statement'!$D15),"n.a.")</f>
        <v>n.a.</v>
      </c>
      <c r="J15" s="1060" t="str">
        <f>IF('Income Statement'!$D15&gt;0,100*('Income Statement'!J15/'Income Statement'!$D15),"n.a.")</f>
        <v>n.a.</v>
      </c>
      <c r="K15" s="1060" t="str">
        <f>IF('Income Statement'!$D15&gt;0,100*('Income Statement'!K15/'Income Statement'!$D15),"n.a.")</f>
        <v>n.a.</v>
      </c>
      <c r="L15" s="1060" t="str">
        <f>IF('Income Statement'!$D15&gt;0,100*('Income Statement'!L15/'Income Statement'!$D15),"n.a.")</f>
        <v>n.a.</v>
      </c>
      <c r="M15" s="940" t="str">
        <f t="shared" si="1"/>
        <v>Int***</v>
      </c>
    </row>
    <row r="16" spans="2:13" ht="19.5" customHeight="1">
      <c r="B16" s="940" t="str">
        <f>'Income Statement'!B16</f>
        <v>Non-op Inc (Loss)</v>
      </c>
      <c r="C16" s="1058">
        <f>IF('Income Statement'!$C16&gt;0,100*('Income Statement'!C16/'Income Statement'!$C16),"n.a.")</f>
        <v>100</v>
      </c>
      <c r="D16" s="1058">
        <f>IF('Income Statement'!$C16&gt;0,100*('Income Statement'!D16/'Income Statement'!$C16),"n.a.")</f>
        <v>50.261324041811847</v>
      </c>
      <c r="E16" s="1057">
        <f>IF('Income Statement'!$C16&gt;0,100*('Income Statement'!E16/'Income Statement'!$C16),"n.a.")</f>
        <v>73.519163763066203</v>
      </c>
      <c r="F16" s="1057">
        <f>IF('Income Statement'!$C16&gt;0,100*('Income Statement'!F16/'Income Statement'!$C16),"n.a.")</f>
        <v>190.06968641114983</v>
      </c>
      <c r="G16" s="1057">
        <f>IF('Income Statement'!$C16&gt;0,100*('Income Statement'!G16/'Income Statement'!$C16),"n.a.")</f>
        <v>334.05923344947735</v>
      </c>
      <c r="H16" s="1060">
        <f>IF('Income Statement'!$C16&gt;0,100*('Income Statement'!H16/'Income Statement'!$C16),"n.a.")</f>
        <v>213.41463414634148</v>
      </c>
      <c r="I16" s="1060">
        <f>IF('Income Statement'!$C16&gt;0,100*('Income Statement'!I16/'Income Statement'!$C16),"n.a.")</f>
        <v>325.78397212543553</v>
      </c>
      <c r="J16" s="1060">
        <f>IF('Income Statement'!$C16&gt;0,100*('Income Statement'!J16/'Income Statement'!$C16),"n.a.")</f>
        <v>-323.17073170731709</v>
      </c>
      <c r="K16" s="1060">
        <f>IF('Income Statement'!$C16&gt;0,100*('Income Statement'!K16/'Income Statement'!$C16),"n.a.")</f>
        <v>20.034843205574912</v>
      </c>
      <c r="L16" s="1060">
        <f>IF('Income Statement'!$C16&gt;0,100*('Income Statement'!L16/'Income Statement'!$C16),"n.a.")</f>
        <v>324.04181184668988</v>
      </c>
      <c r="M16" s="940" t="str">
        <f t="shared" si="1"/>
        <v>Non-op Inc (Loss)</v>
      </c>
    </row>
    <row r="17" spans="2:13" ht="19.5" customHeight="1">
      <c r="B17" s="942" t="s">
        <v>948</v>
      </c>
      <c r="C17" s="1059" t="str">
        <f>IF('Income Statement'!$C17&gt;0,100*('Income Statement'!C17/'Income Statement'!$C17),"n.a.")</f>
        <v>n.a.</v>
      </c>
      <c r="D17" s="1059">
        <f>IF('Income Statement'!$D17&gt;0,100*('Income Statement'!D17/'Income Statement'!$D17),"n.a.")</f>
        <v>100</v>
      </c>
      <c r="E17" s="1059">
        <f>IF('Income Statement'!$D17&gt;0,100*('Income Statement'!E17/'Income Statement'!$D17),"n.a.")</f>
        <v>554.39429928741106</v>
      </c>
      <c r="F17" s="1059">
        <f>IF('Income Statement'!$D17&gt;0,100*('Income Statement'!F17/'Income Statement'!$D17),"n.a.")</f>
        <v>1228.1472684085522</v>
      </c>
      <c r="G17" s="1059">
        <f>IF('Income Statement'!$D17&gt;0,100*('Income Statement'!G17/'Income Statement'!$D17),"n.a.")</f>
        <v>1453.0878859857507</v>
      </c>
      <c r="H17" s="1059">
        <f>IF('Income Statement'!$D17&gt;0,100*('Income Statement'!H17/'Income Statement'!$D17),"n.a.")</f>
        <v>2093.2304038004772</v>
      </c>
      <c r="I17" s="1059">
        <f>IF('Income Statement'!$D17&gt;0,100*('Income Statement'!I17/'Income Statement'!$D17),"n.a.")</f>
        <v>2337.8859857482212</v>
      </c>
      <c r="J17" s="1059">
        <f>IF('Income Statement'!$D17&gt;0,100*('Income Statement'!J17/'Income Statement'!$D17),"n.a.")</f>
        <v>1429.3349168646098</v>
      </c>
      <c r="K17" s="1059">
        <f>IF('Income Statement'!$D17&gt;0,100*('Income Statement'!K17/'Income Statement'!$D17),"n.a.")</f>
        <v>1758.9073634204296</v>
      </c>
      <c r="L17" s="1059">
        <f>IF('Income Statement'!$D17&gt;0,100*('Income Statement'!L17/'Income Statement'!$D17),"n.a.")</f>
        <v>1792.7553444180542</v>
      </c>
      <c r="M17" s="942" t="str">
        <f t="shared" si="1"/>
        <v>Tax Inc (2002 base)</v>
      </c>
    </row>
    <row r="18" spans="2:13" ht="19.5" customHeight="1">
      <c r="B18" s="940" t="s">
        <v>947</v>
      </c>
      <c r="C18" s="1058" t="str">
        <f>IF('Income Statement'!$C18&gt;0,100*('Income Statement'!C18/'Income Statement'!$C18),"n.a.")</f>
        <v>n.a.</v>
      </c>
      <c r="D18" s="1058" t="str">
        <f>IF('Income Statement'!$C18&gt;0,100*('Income Statement'!D18/'Income Statement'!$C18),"n.a.")</f>
        <v>n.a.</v>
      </c>
      <c r="E18" s="1057">
        <f>IF('Income Statement'!$E18&gt;0,100*('Income Statement'!E18/'Income Statement'!$E18),"n.a.")</f>
        <v>100</v>
      </c>
      <c r="F18" s="1057">
        <f>IF('Income Statement'!$E18&gt;0,100*('Income Statement'!F18/'Income Statement'!$E18),"n.a.")</f>
        <v>416.50641025641022</v>
      </c>
      <c r="G18" s="1057">
        <f>IF('Income Statement'!$E18&gt;0,100*('Income Statement'!G18/'Income Statement'!$E18),"n.a.")</f>
        <v>497.6762820512821</v>
      </c>
      <c r="H18" s="1057">
        <f>IF('Income Statement'!$E18&gt;0,100*('Income Statement'!H18/'Income Statement'!$E18),"n.a.")</f>
        <v>798.87820512820508</v>
      </c>
      <c r="I18" s="1057">
        <f>IF('Income Statement'!$E18&gt;0,100*('Income Statement'!I18/'Income Statement'!$E18),"n.a.")</f>
        <v>905.4487179487179</v>
      </c>
      <c r="J18" s="1057">
        <f>IF('Income Statement'!$E18&gt;0,100*('Income Statement'!J18/'Income Statement'!$E18),"n.a.")</f>
        <v>483.17307692307691</v>
      </c>
      <c r="K18" s="1057">
        <f>IF('Income Statement'!$E18&gt;0,100*('Income Statement'!K18/'Income Statement'!$E18),"n.a.")</f>
        <v>624.19871794871801</v>
      </c>
      <c r="L18" s="1057">
        <f>IF('Income Statement'!$E18&gt;0,100*('Income Statement'!L18/'Income Statement'!$E18),"n.a.")</f>
        <v>677.88461538461547</v>
      </c>
      <c r="M18" s="940" t="str">
        <f t="shared" si="1"/>
        <v>Taxes (2003 base)</v>
      </c>
    </row>
    <row r="19" spans="2:13" ht="19.5" customHeight="1" thickBot="1">
      <c r="B19" s="1027" t="s">
        <v>711</v>
      </c>
      <c r="C19" s="1055">
        <f>IF('Income Statement'!$C19&gt;0,100*('Income Statement'!C19/'Income Statement'!$C19),"n.a.")</f>
        <v>100</v>
      </c>
      <c r="D19" s="1055">
        <f>IF('Income Statement'!$C19&gt;0,100*('Income Statement'!D19/'Income Statement'!$C19),"n.a.")</f>
        <v>199.91031390134401</v>
      </c>
      <c r="E19" s="1056">
        <f>IF('Income Statement'!$C19&gt;0,100*('Income Statement'!E19/'Income Statement'!$C19),"n.a.")</f>
        <v>725.38116591927769</v>
      </c>
      <c r="F19" s="1056">
        <f>IF('Income Statement'!$C19&gt;0,100*('Income Statement'!F19/'Income Statement'!$C19),"n.a.")</f>
        <v>1388.6995515694987</v>
      </c>
      <c r="G19" s="1056">
        <f>IF('Income Statement'!$C19&gt;0,100*('Income Statement'!G19/'Income Statement'!$C19),"n.a.")</f>
        <v>1637.5784753363153</v>
      </c>
      <c r="H19" s="1056">
        <f>IF('Income Statement'!$C19&gt;0,100*('Income Statement'!H19/'Income Statement'!$C19),"n.a.")</f>
        <v>2267.264573991019</v>
      </c>
      <c r="I19" s="1056">
        <f>IF('Income Statement'!$C19&gt;0,100*('Income Statement'!I19/'Income Statement'!$C19),"n.a.")</f>
        <v>2517.4887892376541</v>
      </c>
      <c r="J19" s="1056">
        <f>IF('Income Statement'!$C19&gt;0,100*('Income Statement'!J19/'Income Statement'!$C19),"n.a.")</f>
        <v>1617.9372197309326</v>
      </c>
      <c r="K19" s="1056">
        <f>IF('Income Statement'!$C19&gt;0,100*('Income Statement'!K19/'Income Statement'!$C19),"n.a.")</f>
        <v>1957.8475336322765</v>
      </c>
      <c r="L19" s="1056">
        <f>IF('Income Statement'!$C19&gt;0,100*('Income Statement'!L19/'Income Statement'!$C19),"n.a.")</f>
        <v>1948.8789237668054</v>
      </c>
      <c r="M19" s="1027" t="str">
        <f t="shared" si="1"/>
        <v>Net Inc</v>
      </c>
    </row>
    <row r="20" spans="2:13" ht="19.5" customHeight="1" thickTop="1">
      <c r="B20" s="1025"/>
      <c r="C20" s="1026"/>
      <c r="D20" s="1026"/>
      <c r="E20" s="1026"/>
      <c r="F20" s="1026"/>
      <c r="G20" s="1026"/>
      <c r="H20" s="1026"/>
      <c r="I20" s="1026"/>
      <c r="J20" s="1026"/>
      <c r="K20" s="1026"/>
      <c r="L20" s="1026"/>
      <c r="M20" s="1025"/>
    </row>
    <row r="21" spans="2:13" ht="19.5" customHeight="1" thickBot="1">
      <c r="B21" s="940" t="s">
        <v>132</v>
      </c>
      <c r="C21" s="1055">
        <f>IF('Income Statement'!$C21&gt;0,100*('Income Statement'!C21/'Income Statement'!$C21),"n.a.")</f>
        <v>100</v>
      </c>
      <c r="D21" s="1055">
        <f>IF('Income Statement'!$C21&gt;0,100*('Income Statement'!D21/'Income Statement'!$C21),"n.a.")</f>
        <v>201.90355456780904</v>
      </c>
      <c r="E21" s="1055">
        <f>IF('Income Statement'!$C21&gt;0,100*('Income Statement'!E21/'Income Statement'!$C21),"n.a.")</f>
        <v>697.045964125556</v>
      </c>
      <c r="F21" s="1055">
        <f>IF('Income Statement'!$C21&gt;0,100*('Income Statement'!F21/'Income Statement'!$C21),"n.a.")</f>
        <v>1259.2631004753432</v>
      </c>
      <c r="G21" s="1055">
        <f>IF('Income Statement'!$C21&gt;0,100*('Income Statement'!G21/'Income Statement'!$C21),"n.a.")</f>
        <v>1422.7599064223687</v>
      </c>
      <c r="H21" s="1055">
        <f>IF('Income Statement'!$C21&gt;0,100*('Income Statement'!H21/'Income Statement'!$C21),"n.a.")</f>
        <v>946.47990216061453</v>
      </c>
      <c r="I21" s="1055">
        <f>IF('Income Statement'!$C21&gt;0,100*('Income Statement'!I21/'Income Statement'!$C21),"n.a.")</f>
        <v>1101.4013452914737</v>
      </c>
      <c r="J21" s="1055">
        <f>IF('Income Statement'!$C21&gt;0,100*('Income Statement'!J21/'Income Statement'!$C21),"n.a.")</f>
        <v>771.55577191267412</v>
      </c>
      <c r="K21" s="1055">
        <f>IF('Income Statement'!$C21&gt;0,100*('Income Statement'!K21/'Income Statement'!$C21),"n.a.")</f>
        <v>962.9858477334418</v>
      </c>
      <c r="L21" s="1055">
        <f>IF('Income Statement'!$C21&gt;0,100*('Income Statement'!L21/'Income Statement'!$C21),"n.a.")</f>
        <v>1029.4384989958403</v>
      </c>
      <c r="M21" s="940" t="str">
        <f>B21</f>
        <v>EPS</v>
      </c>
    </row>
    <row r="22" spans="2:13" ht="19.5" customHeight="1" thickTop="1" thickBot="1">
      <c r="B22" s="940" t="s">
        <v>773</v>
      </c>
      <c r="C22" s="1055">
        <f>IF('Income Statement'!$C22&gt;0,100*('Income Statement'!C22/'Income Statement'!$C22),"n.a.")</f>
        <v>100</v>
      </c>
      <c r="D22" s="1055">
        <f>IF('Income Statement'!$C22&gt;0,100*('Income Statement'!D22/'Income Statement'!$C22),"n.a.")</f>
        <v>203.26334981987438</v>
      </c>
      <c r="E22" s="1055">
        <f>IF('Income Statement'!$C22&gt;0,100*('Income Statement'!E22/'Income Statement'!$C22),"n.a.")</f>
        <v>703.37566998681211</v>
      </c>
      <c r="F22" s="1055">
        <f>IF('Income Statement'!$C22&gt;0,100*('Income Statement'!F22/'Income Statement'!$C22),"n.a.")</f>
        <v>1263.6303372977115</v>
      </c>
      <c r="G22" s="1055">
        <f>IF('Income Statement'!$C22&gt;0,100*('Income Statement'!G22/'Income Statement'!$C22),"n.a.")</f>
        <v>1409.8251516362595</v>
      </c>
      <c r="H22" s="1055">
        <f>IF('Income Statement'!$C22&gt;0,100*('Income Statement'!H22/'Income Statement'!$C22),"n.a.")</f>
        <v>943.6200570729668</v>
      </c>
      <c r="I22" s="1055">
        <f>IF('Income Statement'!$C22&gt;0,100*('Income Statement'!I22/'Income Statement'!$C22),"n.a.")</f>
        <v>1105.6071175318002</v>
      </c>
      <c r="J22" s="1055">
        <f>IF('Income Statement'!$C22&gt;0,100*('Income Statement'!J22/'Income Statement'!$C22),"n.a.")</f>
        <v>775.44537412404031</v>
      </c>
      <c r="K22" s="1055">
        <f>IF('Income Statement'!$C22&gt;0,100*('Income Statement'!K22/'Income Statement'!$C22),"n.a.")</f>
        <v>975.04134961063505</v>
      </c>
      <c r="L22" s="1055">
        <f>IF('Income Statement'!$C22&gt;0,100*('Income Statement'!L22/'Income Statement'!$C22),"n.a.")</f>
        <v>1065.3386654173023</v>
      </c>
      <c r="M22" s="940" t="str">
        <f>B22</f>
        <v>Dil. EPS</v>
      </c>
    </row>
    <row r="23" spans="2:13" ht="19.5" customHeight="1" thickTop="1" thickBot="1">
      <c r="B23" s="1020" t="s">
        <v>833</v>
      </c>
      <c r="C23" s="1054">
        <f>IF('Income Statement'!$C23&gt;0,100*('Income Statement'!C23/'Income Statement'!$C23),"n.a.")</f>
        <v>100</v>
      </c>
      <c r="D23" s="1054">
        <f>IF('Income Statement'!$C23&gt;0,100*('Income Statement'!D23/'Income Statement'!$C23),"n.a.")</f>
        <v>102.94117647058823</v>
      </c>
      <c r="E23" s="1054">
        <f>IF('Income Statement'!$C23&gt;0,100*('Income Statement'!E23/'Income Statement'!$C23),"n.a.")</f>
        <v>105.88235294117645</v>
      </c>
      <c r="F23" s="1054">
        <f>IF('Income Statement'!$C23&gt;0,100*('Income Statement'!F23/'Income Statement'!$C23),"n.a.")</f>
        <v>114.70588235294117</v>
      </c>
      <c r="G23" s="1054">
        <f>IF('Income Statement'!$C23&gt;0,100*('Income Statement'!G23/'Income Statement'!$C23),"n.a.")</f>
        <v>126.47058823529412</v>
      </c>
      <c r="H23" s="1054">
        <f>IF('Income Statement'!$C23&gt;0,100*('Income Statement'!H23/'Income Statement'!$C23),"n.a.")</f>
        <v>73.52941176470587</v>
      </c>
      <c r="I23" s="1054">
        <f>IF('Income Statement'!$C23&gt;0,100*('Income Statement'!I23/'Income Statement'!$C23),"n.a.")</f>
        <v>85.294117647058812</v>
      </c>
      <c r="J23" s="1054">
        <f>IF('Income Statement'!$C23&gt;0,100*('Income Statement'!J23/'Income Statement'!$C23),"n.a.")</f>
        <v>97.058823529411768</v>
      </c>
      <c r="K23" s="1054">
        <f>IF('Income Statement'!$C23&gt;0,100*('Income Statement'!K23/'Income Statement'!$C23),"n.a.")</f>
        <v>102.94117647058823</v>
      </c>
      <c r="L23" s="1054">
        <f>IF('Income Statement'!$C23&gt;0,100*('Income Statement'!L23/'Income Statement'!$C23),"n.a.")</f>
        <v>108.8235294117647</v>
      </c>
      <c r="M23" s="1020" t="str">
        <f>B23</f>
        <v>Div. PS</v>
      </c>
    </row>
    <row r="24" spans="2:13">
      <c r="B24" s="1019"/>
      <c r="C24" s="1018"/>
      <c r="D24" s="1018"/>
      <c r="E24" s="1018"/>
      <c r="F24" s="1018"/>
      <c r="G24" s="1018"/>
      <c r="H24" s="1018"/>
      <c r="I24" s="1018"/>
      <c r="J24" s="1018"/>
      <c r="K24" s="1018"/>
      <c r="L24" s="1018"/>
      <c r="M24" s="1017"/>
    </row>
    <row r="25" spans="2:13" ht="15.75">
      <c r="B25" s="1286" t="s">
        <v>825</v>
      </c>
      <c r="C25" s="1287"/>
      <c r="D25" s="1287"/>
      <c r="E25" s="1287"/>
      <c r="F25" s="1287"/>
      <c r="G25" s="1287"/>
      <c r="H25" s="1287"/>
      <c r="I25" s="1287"/>
      <c r="J25" s="1287"/>
      <c r="K25" s="1287"/>
      <c r="L25" s="1287"/>
      <c r="M25" s="1288"/>
    </row>
    <row r="26" spans="2:13" ht="15.75">
      <c r="B26" s="1016"/>
      <c r="C26" s="1015"/>
      <c r="D26" s="1015"/>
      <c r="E26" s="1015"/>
      <c r="F26" s="1015"/>
      <c r="G26" s="1015"/>
      <c r="H26" s="1015"/>
      <c r="I26" s="1015"/>
      <c r="J26" s="1015"/>
      <c r="K26" s="1015"/>
      <c r="L26" s="1015"/>
      <c r="M26" s="1014"/>
    </row>
    <row r="27" spans="2:13" ht="15.75">
      <c r="B27" s="1016" t="s">
        <v>830</v>
      </c>
      <c r="C27" s="1015"/>
      <c r="D27" s="1015"/>
      <c r="E27" s="1015"/>
      <c r="F27" s="1015"/>
      <c r="G27" s="1015"/>
      <c r="H27" s="1015"/>
      <c r="I27" s="1015"/>
      <c r="J27" s="1015"/>
      <c r="K27" s="1015"/>
      <c r="L27" s="1015"/>
      <c r="M27" s="1014"/>
    </row>
    <row r="28" spans="2:13" ht="15.75">
      <c r="B28" s="1016" t="s">
        <v>829</v>
      </c>
      <c r="C28" s="1015"/>
      <c r="D28" s="1015"/>
      <c r="E28" s="1015"/>
      <c r="F28" s="1015"/>
      <c r="G28" s="1015"/>
      <c r="H28" s="1015"/>
      <c r="I28" s="1015"/>
      <c r="J28" s="1015"/>
      <c r="K28" s="1015"/>
      <c r="L28" s="1015"/>
      <c r="M28" s="1014"/>
    </row>
    <row r="29" spans="2:13" ht="16.5" thickBot="1">
      <c r="B29" s="1013" t="s">
        <v>828</v>
      </c>
      <c r="C29" s="1012"/>
      <c r="D29" s="1012"/>
      <c r="E29" s="1012"/>
      <c r="F29" s="1012"/>
      <c r="G29" s="1012"/>
      <c r="H29" s="1012"/>
      <c r="I29" s="1012"/>
      <c r="J29" s="1012"/>
      <c r="K29" s="1012"/>
      <c r="L29" s="1012"/>
      <c r="M29" s="1011"/>
    </row>
    <row r="39" spans="3:12">
      <c r="C39" s="947"/>
      <c r="D39" s="947"/>
      <c r="E39" s="947"/>
      <c r="F39" s="947"/>
      <c r="G39" s="947"/>
      <c r="H39" s="947"/>
      <c r="I39" s="947"/>
      <c r="J39" s="947"/>
      <c r="K39" s="947"/>
      <c r="L39" s="1008"/>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M30"/>
  <sheetViews>
    <sheetView zoomScale="75" zoomScaleNormal="75" workbookViewId="0">
      <selection activeCell="C34" activeCellId="1" sqref="A33 C34"/>
    </sheetView>
  </sheetViews>
  <sheetFormatPr defaultColWidth="9.1796875" defaultRowHeight="13"/>
  <cols>
    <col min="1" max="1" width="4" style="903" customWidth="1"/>
    <col min="2" max="2" width="21" style="903" customWidth="1"/>
    <col min="3" max="11" width="11.81640625" style="903" customWidth="1"/>
    <col min="12" max="12" width="14.5" style="903" bestFit="1" customWidth="1"/>
    <col min="13" max="13" width="17.81640625" style="903" customWidth="1"/>
    <col min="14" max="16384" width="9.1796875" style="903"/>
  </cols>
  <sheetData>
    <row r="2" spans="2:13" ht="13.75" thickBot="1"/>
    <row r="3" spans="2:13" ht="30">
      <c r="B3" s="1265" t="str">
        <f>'Balance Sheet'!B3:M3</f>
        <v>The Chubb Corporation (CB)</v>
      </c>
      <c r="C3" s="1266"/>
      <c r="D3" s="1266"/>
      <c r="E3" s="1266"/>
      <c r="F3" s="1266"/>
      <c r="G3" s="1266"/>
      <c r="H3" s="1266"/>
      <c r="I3" s="1266"/>
      <c r="J3" s="1266"/>
      <c r="K3" s="1266"/>
      <c r="L3" s="1266"/>
      <c r="M3" s="1267"/>
    </row>
    <row r="4" spans="2:13" s="914" customFormat="1" ht="22.75">
      <c r="B4" s="1280" t="s">
        <v>952</v>
      </c>
      <c r="C4" s="1281"/>
      <c r="D4" s="1281"/>
      <c r="E4" s="1281"/>
      <c r="F4" s="1281"/>
      <c r="G4" s="1281"/>
      <c r="H4" s="1281"/>
      <c r="I4" s="1281"/>
      <c r="J4" s="1281"/>
      <c r="K4" s="1281"/>
      <c r="L4" s="1281"/>
      <c r="M4" s="1282"/>
    </row>
    <row r="5" spans="2:13" s="914" customFormat="1" ht="15.75">
      <c r="B5" s="1283" t="s">
        <v>794</v>
      </c>
      <c r="C5" s="1284"/>
      <c r="D5" s="1284"/>
      <c r="E5" s="1284"/>
      <c r="F5" s="1284"/>
      <c r="G5" s="1284"/>
      <c r="H5" s="1284"/>
      <c r="I5" s="1284"/>
      <c r="J5" s="1284"/>
      <c r="K5" s="1284"/>
      <c r="L5" s="1284"/>
      <c r="M5" s="1285"/>
    </row>
    <row r="6" spans="2:13" ht="13.75" thickBot="1">
      <c r="B6" s="1065"/>
      <c r="C6" s="947"/>
      <c r="D6" s="947"/>
      <c r="E6" s="947"/>
      <c r="F6" s="947"/>
      <c r="G6" s="947"/>
      <c r="H6" s="947"/>
      <c r="I6" s="947"/>
      <c r="J6" s="947"/>
      <c r="K6" s="947"/>
      <c r="L6" s="947"/>
      <c r="M6" s="1034"/>
    </row>
    <row r="7" spans="2:13" ht="16.5" thickBot="1">
      <c r="B7" s="907"/>
      <c r="C7" s="929">
        <f>'Income Statement'!C7</f>
        <v>2001</v>
      </c>
      <c r="D7" s="928">
        <f t="shared" ref="D7:K7" si="0">C7+1</f>
        <v>2002</v>
      </c>
      <c r="E7" s="928">
        <f t="shared" si="0"/>
        <v>2003</v>
      </c>
      <c r="F7" s="928">
        <f t="shared" si="0"/>
        <v>2004</v>
      </c>
      <c r="G7" s="928">
        <f t="shared" si="0"/>
        <v>2005</v>
      </c>
      <c r="H7" s="928">
        <f t="shared" si="0"/>
        <v>2006</v>
      </c>
      <c r="I7" s="928">
        <f t="shared" si="0"/>
        <v>2007</v>
      </c>
      <c r="J7" s="928">
        <f t="shared" si="0"/>
        <v>2008</v>
      </c>
      <c r="K7" s="928">
        <f t="shared" si="0"/>
        <v>2009</v>
      </c>
      <c r="L7" s="927" t="s">
        <v>778</v>
      </c>
      <c r="M7" s="905"/>
    </row>
    <row r="8" spans="2:13" ht="19.5" customHeight="1">
      <c r="B8" s="995" t="str">
        <f>'Income Statement'!B8</f>
        <v>Operating Rev*</v>
      </c>
      <c r="C8" s="1058">
        <f>100*('Income Statement'!C8/'Income Statement'!C$8)</f>
        <v>100</v>
      </c>
      <c r="D8" s="1058">
        <f>100*('Income Statement'!D8/'Income Statement'!D$8)</f>
        <v>100</v>
      </c>
      <c r="E8" s="1057">
        <f>100*('Income Statement'!E8/'Income Statement'!E$8)</f>
        <v>100</v>
      </c>
      <c r="F8" s="1057">
        <f>100*('Income Statement'!F8/'Income Statement'!F$8)</f>
        <v>100</v>
      </c>
      <c r="G8" s="1057">
        <f>100*('Income Statement'!G8/'Income Statement'!G$8)</f>
        <v>100</v>
      </c>
      <c r="H8" s="1060">
        <f>100*('Income Statement'!H8/'Income Statement'!H$8)</f>
        <v>100</v>
      </c>
      <c r="I8" s="1060">
        <f>100*('Income Statement'!I8/'Income Statement'!I$8)</f>
        <v>100</v>
      </c>
      <c r="J8" s="1060">
        <f>100*('Income Statement'!J8/'Income Statement'!J$8)</f>
        <v>100</v>
      </c>
      <c r="K8" s="1060">
        <f>100*('Income Statement'!K8/'Income Statement'!K$8)</f>
        <v>100</v>
      </c>
      <c r="L8" s="1060">
        <f>100*('Income Statement'!L8/'Income Statement'!L$8)</f>
        <v>100</v>
      </c>
      <c r="M8" s="995" t="str">
        <f>'Income Statement'!M8</f>
        <v>Net Revenue</v>
      </c>
    </row>
    <row r="9" spans="2:13" ht="19.5" customHeight="1">
      <c r="B9" s="940" t="s">
        <v>311</v>
      </c>
      <c r="C9" s="1058">
        <f>100*'Actual IS'!C18/'Income Statement'!C8</f>
        <v>12.865221489161168</v>
      </c>
      <c r="D9" s="1058">
        <f>100*'Actual IS'!D18/'Income Statement'!D8</f>
        <v>10.980336027128795</v>
      </c>
      <c r="E9" s="1058">
        <f>100*'Actual IS'!E18/'Income Statement'!E8</f>
        <v>9.8880597014925389</v>
      </c>
      <c r="F9" s="1058">
        <f>100*'Actual IS'!F18/'Income Statement'!F8</f>
        <v>9.6921058723666942</v>
      </c>
      <c r="G9" s="1058">
        <f>100*'Actual IS'!G18/'Income Statement'!G8</f>
        <v>10.27608257657605</v>
      </c>
      <c r="H9" s="1058">
        <f>100*'Actual IS'!H18/'Income Statement'!H8</f>
        <v>11.484227358627708</v>
      </c>
      <c r="I9" s="1058">
        <f>100*'Actual IS'!I18/'Income Statement'!I8</f>
        <v>12.655646981722857</v>
      </c>
      <c r="J9" s="1058">
        <f>100*'Actual IS'!J18/'Income Statement'!J8</f>
        <v>12.742789876397881</v>
      </c>
      <c r="K9" s="1058">
        <f>100*'Actual IS'!K18/'Income Statement'!K8</f>
        <v>12.691449241899484</v>
      </c>
      <c r="L9" s="1058">
        <f>100*'Actual IS'!L18/'Income Statement'!L8</f>
        <v>13.487921264539219</v>
      </c>
      <c r="M9" s="940"/>
    </row>
    <row r="10" spans="2:13" ht="19.5" customHeight="1">
      <c r="B10" s="940" t="str">
        <f>'Income Statement'!B9</f>
        <v>COGS**</v>
      </c>
      <c r="C10" s="1058">
        <f>100*('Income Statement'!C9/'Income Statement'!C$8)</f>
        <v>93.318672112263059</v>
      </c>
      <c r="D10" s="1058">
        <f>100*('Income Statement'!D9/'Income Statement'!D$8)</f>
        <v>89.648338581463463</v>
      </c>
      <c r="E10" s="1057">
        <f>100*('Income Statement'!E9/'Income Statement'!E$8)</f>
        <v>83.139987267454202</v>
      </c>
      <c r="F10" s="1057">
        <f>100*('Income Statement'!F9/'Income Statement'!F$8)</f>
        <v>78.433521105023544</v>
      </c>
      <c r="G10" s="1057">
        <f>100*('Income Statement'!G9/'Income Statement'!G$8)</f>
        <v>78.429497474231312</v>
      </c>
      <c r="H10" s="1060">
        <f>100*('Income Statement'!H9/'Income Statement'!H$8)</f>
        <v>68.999854630033425</v>
      </c>
      <c r="I10" s="1060">
        <f>100*('Income Statement'!I9/'Income Statement'!I$8)</f>
        <v>68.382727736110098</v>
      </c>
      <c r="J10" s="1060">
        <f>100*('Income Statement'!J9/'Income Statement'!J$8)</f>
        <v>73.727192466156566</v>
      </c>
      <c r="K10" s="1060">
        <f>100*('Income Statement'!K9/'Income Statement'!K$8)</f>
        <v>71.492342030324025</v>
      </c>
      <c r="L10" s="1060">
        <f>100*('Income Statement'!L9/'Income Statement'!L$8)</f>
        <v>74.5228153892037</v>
      </c>
      <c r="M10" s="940" t="str">
        <f>'Income Statement'!M9</f>
        <v>COS</v>
      </c>
    </row>
    <row r="11" spans="2:13" ht="19.5" customHeight="1">
      <c r="B11" s="942" t="s">
        <v>13</v>
      </c>
      <c r="C11" s="1062">
        <f>100*('Income Statement'!C10/'Income Statement'!C$8)</f>
        <v>6.6813278877369431</v>
      </c>
      <c r="D11" s="1062">
        <f>100*('Income Statement'!D10/'Income Statement'!D$8)</f>
        <v>10.351661418536541</v>
      </c>
      <c r="E11" s="1059">
        <f>100*('Income Statement'!E10/'Income Statement'!E$8)</f>
        <v>16.860012732545798</v>
      </c>
      <c r="F11" s="1059">
        <f>100*('Income Statement'!F10/'Income Statement'!F$8)</f>
        <v>21.566478894976459</v>
      </c>
      <c r="G11" s="1059">
        <f>100*('Income Statement'!G10/'Income Statement'!G$8)</f>
        <v>21.570502525768688</v>
      </c>
      <c r="H11" s="1059">
        <f>100*('Income Statement'!H10/'Income Statement'!H$8)</f>
        <v>31.000145369966564</v>
      </c>
      <c r="I11" s="1059">
        <f>100*('Income Statement'!I10/'Income Statement'!I$8)</f>
        <v>31.617272263889902</v>
      </c>
      <c r="J11" s="1059">
        <f>100*('Income Statement'!J10/'Income Statement'!J$8)</f>
        <v>26.272807533843441</v>
      </c>
      <c r="K11" s="1059">
        <f>100*('Income Statement'!K10/'Income Statement'!K$8)</f>
        <v>28.507657969675982</v>
      </c>
      <c r="L11" s="1059">
        <f>100*('Income Statement'!L10/'Income Statement'!L$8)</f>
        <v>25.4771846107963</v>
      </c>
      <c r="M11" s="942" t="str">
        <f>'Income Statement'!M10</f>
        <v>Gross profit</v>
      </c>
    </row>
    <row r="12" spans="2:13" ht="19.5" customHeight="1">
      <c r="B12" s="940" t="str">
        <f>'Income Statement'!B11</f>
        <v>SG&amp;A</v>
      </c>
      <c r="C12" s="1058">
        <f>100*('Income Statement'!C11/'Income Statement'!C$8)</f>
        <v>2.7201801235731486</v>
      </c>
      <c r="D12" s="1058">
        <f>100*('Income Statement'!D11/'Income Statement'!D$8)</f>
        <v>2.5917688767533522</v>
      </c>
      <c r="E12" s="1057">
        <f>100*('Income Statement'!E11/'Income Statement'!E$8)</f>
        <v>3.120357926009762</v>
      </c>
      <c r="F12" s="1057">
        <f>100*('Income Statement'!F11/'Income Statement'!F$8)</f>
        <v>2.4284281194536614</v>
      </c>
      <c r="G12" s="1057">
        <f>100*('Income Statement'!G11/'Income Statement'!G$8)</f>
        <v>2.7688556661897388</v>
      </c>
      <c r="H12" s="1060">
        <f>100*('Income Statement'!H11/'Income Statement'!H$8)</f>
        <v>3.1617967727867424</v>
      </c>
      <c r="I12" s="1060">
        <f>100*('Income Statement'!I11/'Income Statement'!I$8)</f>
        <v>2.4393795965921501</v>
      </c>
      <c r="J12" s="1060">
        <f>100*('Income Statement'!J11/'Income Statement'!J$8)</f>
        <v>2.5897586815773983</v>
      </c>
      <c r="K12" s="1060">
        <f>100*('Income Statement'!K11/'Income Statement'!K$8)</f>
        <v>2.686061725544524</v>
      </c>
      <c r="L12" s="1060">
        <f>100*('Income Statement'!L11/'Income Statement'!L$8)</f>
        <v>2.5946913212048912</v>
      </c>
      <c r="M12" s="940" t="str">
        <f>'Income Statement'!M11</f>
        <v>SG&amp;A</v>
      </c>
    </row>
    <row r="13" spans="2:13" ht="19.5" customHeight="1">
      <c r="B13" s="940" t="str">
        <f>'Income Statement'!B12</f>
        <v>R&amp;D</v>
      </c>
      <c r="C13" s="1058">
        <f>100*('Income Statement'!C12/'Income Statement'!C$8)</f>
        <v>0</v>
      </c>
      <c r="D13" s="1058">
        <f>100*('Income Statement'!D12/'Income Statement'!D$8)</f>
        <v>0</v>
      </c>
      <c r="E13" s="1057">
        <f>100*('Income Statement'!E12/'Income Statement'!E$8)</f>
        <v>0</v>
      </c>
      <c r="F13" s="1057">
        <f>100*('Income Statement'!F12/'Income Statement'!F$8)</f>
        <v>0</v>
      </c>
      <c r="G13" s="1057">
        <f>100*('Income Statement'!G12/'Income Statement'!G$8)</f>
        <v>0</v>
      </c>
      <c r="H13" s="1060">
        <f>100*('Income Statement'!H12/'Income Statement'!H$8)</f>
        <v>0</v>
      </c>
      <c r="I13" s="1060">
        <f>100*('Income Statement'!I12/'Income Statement'!I$8)</f>
        <v>0</v>
      </c>
      <c r="J13" s="1060">
        <f>100*('Income Statement'!J12/'Income Statement'!J$8)</f>
        <v>0</v>
      </c>
      <c r="K13" s="1060">
        <f>100*('Income Statement'!K12/'Income Statement'!K$8)</f>
        <v>0</v>
      </c>
      <c r="L13" s="1060">
        <f>100*('Income Statement'!L12/'Income Statement'!L$8)</f>
        <v>0</v>
      </c>
      <c r="M13" s="940" t="str">
        <f>'Income Statement'!M12</f>
        <v>R&amp;D</v>
      </c>
    </row>
    <row r="14" spans="2:13" ht="19.5" customHeight="1">
      <c r="B14" s="940" t="str">
        <f>'Income Statement'!B13</f>
        <v>Other Op Costs</v>
      </c>
      <c r="C14" s="1061">
        <f>100*('Income Statement'!C13/'Income Statement'!C$8)</f>
        <v>6.3278877369358044</v>
      </c>
      <c r="D14" s="1058">
        <f>100*('Income Statement'!D13/'Income Statement'!D$8)</f>
        <v>6.5410785457908531</v>
      </c>
      <c r="E14" s="1057">
        <f>100*('Income Statement'!E13/'Income Statement'!E$8)</f>
        <v>6.2309896017542634</v>
      </c>
      <c r="F14" s="1064">
        <f>100*('Income Statement'!F13/'Income Statement'!F$8)</f>
        <v>4.8622578902693103</v>
      </c>
      <c r="G14" s="1064">
        <f>100*('Income Statement'!G13/'Income Statement'!G$8)</f>
        <v>3.7382836452827988</v>
      </c>
      <c r="H14" s="1063">
        <f>100*('Income Statement'!H13/'Income Statement'!H$8)</f>
        <v>3.9976740805349618</v>
      </c>
      <c r="I14" s="1060">
        <f>100*('Income Statement'!I13/'Income Statement'!I$8)</f>
        <v>3.2330881817519841</v>
      </c>
      <c r="J14" s="1060">
        <f>100*('Income Statement'!J13/'Income Statement'!J$8)</f>
        <v>3.244555620953502</v>
      </c>
      <c r="K14" s="1060">
        <f>100*('Income Statement'!K13/'Income Statement'!K$8)</f>
        <v>3.2017240052335874</v>
      </c>
      <c r="L14" s="1060">
        <f>100*('Income Statement'!L13/'Income Statement'!L$8)</f>
        <v>3.1464360274381153</v>
      </c>
      <c r="M14" s="940" t="str">
        <f>'Income Statement'!M13</f>
        <v>Other Op Costs</v>
      </c>
    </row>
    <row r="15" spans="2:13" ht="19.5" customHeight="1">
      <c r="B15" s="942" t="s">
        <v>949</v>
      </c>
      <c r="C15" s="1062">
        <f>100*('Income Statement'!C14/'Income Statement'!C$8)</f>
        <v>-2.36673997277201</v>
      </c>
      <c r="D15" s="1072">
        <f>100*('Income Statement'!D14/'Income Statement'!D$8)</f>
        <v>1.218813995992335</v>
      </c>
      <c r="E15" s="1072">
        <f>100*('Income Statement'!E14/'Income Statement'!E$8)</f>
        <v>7.5086652047817708</v>
      </c>
      <c r="F15" s="1072">
        <f>100*('Income Statement'!F14/'Income Statement'!F$8)</f>
        <v>14.275792885253487</v>
      </c>
      <c r="G15" s="1062">
        <f>100*('Income Statement'!G14/'Income Statement'!G$8)</f>
        <v>15.063363214296151</v>
      </c>
      <c r="H15" s="1062">
        <f>100*('Income Statement'!H14/'Income Statement'!H$8)</f>
        <v>23.84067451664486</v>
      </c>
      <c r="I15" s="1072">
        <f>100*('Income Statement'!I14/'Income Statement'!I$8)</f>
        <v>25.944804485545763</v>
      </c>
      <c r="J15" s="1072">
        <f>100*('Income Statement'!J14/'Income Statement'!J$8)</f>
        <v>20.438493231312538</v>
      </c>
      <c r="K15" s="1072">
        <f>100*('Income Statement'!K14/'Income Statement'!K$8)</f>
        <v>22.619872238897866</v>
      </c>
      <c r="L15" s="1072">
        <f>100*('Income Statement'!L14/'Income Statement'!L$8)</f>
        <v>19.736057262153295</v>
      </c>
      <c r="M15" s="942" t="str">
        <f>'Income Statement'!M14</f>
        <v>Op Inc</v>
      </c>
    </row>
    <row r="16" spans="2:13" ht="19.5" customHeight="1">
      <c r="B16" s="940" t="str">
        <f>'Income Statement'!B15</f>
        <v>Int***</v>
      </c>
      <c r="C16" s="1058">
        <f>100*('Income Statement'!C15/'Income Statement'!C$8)</f>
        <v>0</v>
      </c>
      <c r="D16" s="1058">
        <f>100*('Income Statement'!D15/'Income Statement'!D$8)</f>
        <v>0</v>
      </c>
      <c r="E16" s="1057">
        <f>100*('Income Statement'!E15/'Income Statement'!E$8)</f>
        <v>0</v>
      </c>
      <c r="F16" s="1057">
        <f>100*('Income Statement'!F15/'Income Statement'!F$8)</f>
        <v>0</v>
      </c>
      <c r="G16" s="1057">
        <f>100*('Income Statement'!G15/'Income Statement'!G$8)</f>
        <v>0</v>
      </c>
      <c r="H16" s="1060">
        <f>100*('Income Statement'!H15/'Income Statement'!H$8)</f>
        <v>0</v>
      </c>
      <c r="I16" s="1060">
        <f>100*('Income Statement'!I15/'Income Statement'!I$8)</f>
        <v>0</v>
      </c>
      <c r="J16" s="1060">
        <f>100*('Income Statement'!J15/'Income Statement'!J$8)</f>
        <v>0</v>
      </c>
      <c r="K16" s="1060">
        <f>100*('Income Statement'!K15/'Income Statement'!K$8)</f>
        <v>0</v>
      </c>
      <c r="L16" s="1060">
        <f>100*('Income Statement'!L15/'Income Statement'!L$8)</f>
        <v>0</v>
      </c>
      <c r="M16" s="940" t="str">
        <f>'Income Statement'!M15</f>
        <v>Int</v>
      </c>
    </row>
    <row r="17" spans="2:13" ht="19.5" customHeight="1">
      <c r="B17" s="940" t="str">
        <f>'Income Statement'!B16</f>
        <v>Non-op Inc (Loss)</v>
      </c>
      <c r="C17" s="1058">
        <f>100*('Income Statement'!C16/'Income Statement'!C$8)</f>
        <v>1.5027751597025867</v>
      </c>
      <c r="D17" s="1061">
        <f>100*('Income Statement'!D16/'Income Statement'!D$8)</f>
        <v>0.63528064651091098</v>
      </c>
      <c r="E17" s="1064">
        <f>100*('Income Statement'!E16/'Income Statement'!E$8)</f>
        <v>0.74626865671641807</v>
      </c>
      <c r="F17" s="1064">
        <f>100*('Income Statement'!F16/'Income Statement'!F$8)</f>
        <v>1.683771895979628</v>
      </c>
      <c r="G17" s="1064">
        <f>100*('Income Statement'!G16/'Income Statement'!G$8)</f>
        <v>2.7995152860104531</v>
      </c>
      <c r="H17" s="1063">
        <f>100*('Income Statement'!H16/'Income Statement'!H$8)</f>
        <v>1.7807820904201193</v>
      </c>
      <c r="I17" s="1063">
        <f>100*('Income Statement'!I16/'Income Statement'!I$8)</f>
        <v>2.7233670720163112</v>
      </c>
      <c r="J17" s="1063">
        <f>100*('Income Statement'!J16/'Income Statement'!J$8)</f>
        <v>-2.7295467922307237</v>
      </c>
      <c r="K17" s="1063">
        <f>100*('Income Statement'!K16/'Income Statement'!K$8)</f>
        <v>0.17701839452012622</v>
      </c>
      <c r="L17" s="1060">
        <f>100*('Income Statement'!L16/'Income Statement'!L$8)</f>
        <v>2.7736355502535042</v>
      </c>
      <c r="M17" s="940" t="str">
        <f>'Income Statement'!M16</f>
        <v>Non-op Inc</v>
      </c>
    </row>
    <row r="18" spans="2:13" ht="19.5" customHeight="1">
      <c r="B18" s="942" t="s">
        <v>948</v>
      </c>
      <c r="C18" s="1059">
        <f>100*('Income Statement'!C17/'Income Statement'!C$8)</f>
        <v>-0.8639648130694233</v>
      </c>
      <c r="D18" s="1071">
        <f>100*('Income Statement'!D17/'Income Statement'!D$8)</f>
        <v>1.8540946425032456</v>
      </c>
      <c r="E18" s="1071">
        <f>100*('Income Statement'!E17/'Income Statement'!E$8)</f>
        <v>8.2549338614981895</v>
      </c>
      <c r="F18" s="1071">
        <f>100*('Income Statement'!F17/'Income Statement'!F$8)</f>
        <v>15.959564781233116</v>
      </c>
      <c r="G18" s="1059">
        <f>100*('Income Statement'!G17/'Income Statement'!G$8)</f>
        <v>17.862878500306607</v>
      </c>
      <c r="H18" s="1059">
        <f>100*('Income Statement'!H17/'Income Statement'!H$8)</f>
        <v>25.621456607064978</v>
      </c>
      <c r="I18" s="1071">
        <f>100*('Income Statement'!I17/'Income Statement'!I$8)</f>
        <v>28.668171557562079</v>
      </c>
      <c r="J18" s="1071">
        <f>100*('Income Statement'!J17/'Income Statement'!J$8)</f>
        <v>17.708946439081814</v>
      </c>
      <c r="K18" s="1071">
        <f>100*('Income Statement'!K17/'Income Statement'!K$8)</f>
        <v>22.796890633417995</v>
      </c>
      <c r="L18" s="1071">
        <f>100*('Income Statement'!L17/'Income Statement'!L$8)</f>
        <v>22.509692812406801</v>
      </c>
      <c r="M18" s="942" t="str">
        <f>'Income Statement'!M17</f>
        <v>Tax Inc</v>
      </c>
    </row>
    <row r="19" spans="2:13" ht="19.5" customHeight="1">
      <c r="B19" s="940" t="s">
        <v>947</v>
      </c>
      <c r="C19" s="1058">
        <f>100*('Income Statement'!C18/'Income Statement'!C$8)</f>
        <v>-2.3235417321185463</v>
      </c>
      <c r="D19" s="1061">
        <f>100*('Income Statement'!D18/'Income Statement'!D$8)</f>
        <v>-0.60004844427807014</v>
      </c>
      <c r="E19" s="1057">
        <f>100*('Income Statement'!E18/'Income Statement'!E$8)</f>
        <v>1.1034873028223811</v>
      </c>
      <c r="F19" s="1057">
        <f>100*('Income Statement'!F18/'Income Statement'!F$8)</f>
        <v>4.0111119685160883</v>
      </c>
      <c r="G19" s="1057">
        <f>100*('Income Statement'!G18/'Income Statement'!G$8)</f>
        <v>4.5339737787251435</v>
      </c>
      <c r="H19" s="1060">
        <f>100*('Income Statement'!H18/'Income Statement'!H$8)</f>
        <v>7.2466928332606484</v>
      </c>
      <c r="I19" s="1060">
        <f>100*('Income Statement'!I18/'Income Statement'!I$8)</f>
        <v>8.2283550571615827</v>
      </c>
      <c r="J19" s="1060">
        <f>100*('Income Statement'!J18/'Income Statement'!J$8)</f>
        <v>4.4364331959976457</v>
      </c>
      <c r="K19" s="1060">
        <f>100*('Income Statement'!K18/'Income Statement'!K$8)</f>
        <v>5.9955360578773185</v>
      </c>
      <c r="L19" s="1060">
        <f>100*('Income Statement'!L18/'Income Statement'!L$8)</f>
        <v>6.3077840739636137</v>
      </c>
      <c r="M19" s="940" t="str">
        <f>'Income Statement'!M18</f>
        <v>Taxes</v>
      </c>
    </row>
    <row r="20" spans="2:13" ht="19.5" customHeight="1" thickBot="1">
      <c r="B20" s="1027" t="s">
        <v>711</v>
      </c>
      <c r="C20" s="1055">
        <f>100*('Income Statement'!C19/'Income Statement'!C$8)</f>
        <v>1.4595769190491232</v>
      </c>
      <c r="D20" s="1070">
        <f>100*('Income Statement'!D19/'Income Statement'!D$8)</f>
        <v>2.4541430867813157</v>
      </c>
      <c r="E20" s="1069">
        <f>100*('Income Statement'!E19/'Income Statement'!E$8)</f>
        <v>7.1514465586758087</v>
      </c>
      <c r="F20" s="1069">
        <f>100*('Income Statement'!F19/'Income Statement'!F$8)</f>
        <v>11.948452812717028</v>
      </c>
      <c r="G20" s="1056">
        <f>100*('Income Statement'!G19/'Income Statement'!G$8)</f>
        <v>13.328904721581461</v>
      </c>
      <c r="H20" s="1056">
        <f>100*('Income Statement'!H19/'Income Statement'!H$8)</f>
        <v>18.374763773804332</v>
      </c>
      <c r="I20" s="1069">
        <f>100*('Income Statement'!I19/'Income Statement'!I$8)</f>
        <v>20.439816500400497</v>
      </c>
      <c r="J20" s="1069">
        <f>100*('Income Statement'!J19/'Income Statement'!J$8)</f>
        <v>13.272513243084166</v>
      </c>
      <c r="K20" s="1069">
        <f>100*('Income Statement'!K19/'Income Statement'!K$8)</f>
        <v>16.801354575540675</v>
      </c>
      <c r="L20" s="1069">
        <f>100*('Income Statement'!L19/'Income Statement'!L$8)</f>
        <v>16.201908738443187</v>
      </c>
      <c r="M20" s="1027" t="str">
        <f>'Income Statement'!M19</f>
        <v>Net Inc</v>
      </c>
    </row>
    <row r="21" spans="2:13" ht="19.5" customHeight="1" thickTop="1">
      <c r="B21" s="1025"/>
      <c r="C21" s="1026"/>
      <c r="D21" s="1026"/>
      <c r="E21" s="1026"/>
      <c r="F21" s="1026"/>
      <c r="G21" s="1026"/>
      <c r="H21" s="1026"/>
      <c r="I21" s="1026"/>
      <c r="J21" s="1026"/>
      <c r="K21" s="1026"/>
      <c r="L21" s="1026"/>
      <c r="M21" s="1025"/>
    </row>
    <row r="22" spans="2:13" ht="19.5" customHeight="1">
      <c r="B22" s="940" t="s">
        <v>132</v>
      </c>
      <c r="C22" s="1023">
        <f>100*('Income Statement'!C21/'Income Statement'!C$8)</f>
        <v>8.476056440471098E-3</v>
      </c>
      <c r="D22" s="1068">
        <f>100*('Income Statement'!D21/'Income Statement'!D$8)</f>
        <v>1.439380109549159E-2</v>
      </c>
      <c r="E22" s="1068">
        <f>100*('Income Statement'!E21/'Income Statement'!E$8)</f>
        <v>3.9907625885467687E-2</v>
      </c>
      <c r="F22" s="1068">
        <f>100*('Income Statement'!F21/'Income Statement'!F$8)</f>
        <v>6.2919709387662073E-2</v>
      </c>
      <c r="G22" s="1023">
        <f>100*('Income Statement'!G21/'Income Statement'!G$8)</f>
        <v>6.7249771551874185E-2</v>
      </c>
      <c r="H22" s="1023">
        <f>100*('Income Statement'!H21/'Income Statement'!H$8)</f>
        <v>4.4544881875889293E-2</v>
      </c>
      <c r="I22" s="1068">
        <f>100*('Income Statement'!I21/'Income Statement'!I$8)</f>
        <v>5.1930428100611013E-2</v>
      </c>
      <c r="J22" s="1068">
        <f>100*('Income Statement'!J21/'Income Statement'!J$8)</f>
        <v>3.6755783004940923E-2</v>
      </c>
      <c r="K22" s="1068">
        <f>100*('Income Statement'!K21/'Income Statement'!K$8)</f>
        <v>4.7990158741904244E-2</v>
      </c>
      <c r="L22" s="1068">
        <f>100*('Income Statement'!L21/'Income Statement'!L$8)</f>
        <v>4.9699106559641673E-2</v>
      </c>
      <c r="M22" s="940" t="str">
        <f>'Income Statement'!M21</f>
        <v>EPS</v>
      </c>
    </row>
    <row r="23" spans="2:13" ht="19.5" customHeight="1">
      <c r="B23" s="940" t="s">
        <v>773</v>
      </c>
      <c r="C23" s="1023">
        <f>100*('Income Statement'!C22/'Income Statement'!C$8)</f>
        <v>8.3024853188232266E-3</v>
      </c>
      <c r="D23" s="1068">
        <f>100*('Income Statement'!D22/'Income Statement'!D$8)</f>
        <v>1.4194002815392227E-2</v>
      </c>
      <c r="E23" s="1068">
        <f>100*('Income Statement'!E22/'Income Statement'!E$8)</f>
        <v>3.9445375392585816E-2</v>
      </c>
      <c r="F23" s="1068">
        <f>100*('Income Statement'!F22/'Income Statement'!F$8)</f>
        <v>6.1844993854643003E-2</v>
      </c>
      <c r="G23" s="1023">
        <f>100*('Income Statement'!G22/'Income Statement'!G$8)</f>
        <v>6.5273774346628122E-2</v>
      </c>
      <c r="H23" s="1022">
        <f>100*('Income Statement'!H22/'Income Statement'!H$8)</f>
        <v>4.3500861206923133E-2</v>
      </c>
      <c r="I23" s="1067">
        <f>100*('Income Statement'!I22/'Income Statement'!I$8)</f>
        <v>5.1061245317013476E-2</v>
      </c>
      <c r="J23" s="1067">
        <f>100*('Income Statement'!J22/'Income Statement'!J$8)</f>
        <v>3.6184605351919759E-2</v>
      </c>
      <c r="K23" s="1067">
        <f>100*('Income Statement'!K22/'Income Statement'!K$8)</f>
        <v>4.7595905313146392E-2</v>
      </c>
      <c r="L23" s="1067">
        <f>100*('Income Statement'!L22/'Income Statement'!L$8)</f>
        <v>5.0379069460333284E-2</v>
      </c>
      <c r="M23" s="940" t="str">
        <f>'Income Statement'!M22</f>
        <v>Dil. EPS</v>
      </c>
    </row>
    <row r="24" spans="2:13" ht="19.5" customHeight="1" thickBot="1">
      <c r="B24" s="1020" t="s">
        <v>833</v>
      </c>
      <c r="C24" s="1066" t="s">
        <v>951</v>
      </c>
      <c r="D24" s="1066" t="s">
        <v>951</v>
      </c>
      <c r="E24" s="1066" t="s">
        <v>951</v>
      </c>
      <c r="F24" s="1066" t="s">
        <v>951</v>
      </c>
      <c r="G24" s="1066" t="s">
        <v>951</v>
      </c>
      <c r="H24" s="1066" t="s">
        <v>951</v>
      </c>
      <c r="I24" s="1066" t="s">
        <v>951</v>
      </c>
      <c r="J24" s="1066" t="s">
        <v>951</v>
      </c>
      <c r="K24" s="1066" t="s">
        <v>951</v>
      </c>
      <c r="L24" s="1066" t="s">
        <v>951</v>
      </c>
      <c r="M24" s="1020" t="str">
        <f>'Income Statement'!M23</f>
        <v>DPS</v>
      </c>
    </row>
    <row r="25" spans="2:13">
      <c r="B25" s="1019"/>
      <c r="C25" s="1018"/>
      <c r="D25" s="1018"/>
      <c r="E25" s="1018"/>
      <c r="F25" s="1018"/>
      <c r="G25" s="1018"/>
      <c r="H25" s="1018"/>
      <c r="I25" s="1018"/>
      <c r="J25" s="1018"/>
      <c r="K25" s="1018"/>
      <c r="L25" s="1018"/>
      <c r="M25" s="1017"/>
    </row>
    <row r="26" spans="2:13" ht="15.75">
      <c r="B26" s="1286" t="s">
        <v>825</v>
      </c>
      <c r="C26" s="1287"/>
      <c r="D26" s="1287"/>
      <c r="E26" s="1287"/>
      <c r="F26" s="1287"/>
      <c r="G26" s="1287"/>
      <c r="H26" s="1287"/>
      <c r="I26" s="1287"/>
      <c r="J26" s="1287"/>
      <c r="K26" s="1287"/>
      <c r="L26" s="1287"/>
      <c r="M26" s="1288"/>
    </row>
    <row r="27" spans="2:13" ht="15.75">
      <c r="B27" s="1016"/>
      <c r="C27" s="1015"/>
      <c r="D27" s="1015"/>
      <c r="E27" s="1015"/>
      <c r="F27" s="1015"/>
      <c r="G27" s="1015"/>
      <c r="H27" s="1015"/>
      <c r="I27" s="1015"/>
      <c r="J27" s="1015"/>
      <c r="K27" s="1015"/>
      <c r="L27" s="1015"/>
      <c r="M27" s="1014"/>
    </row>
    <row r="28" spans="2:13" ht="15.75">
      <c r="B28" s="1016" t="s">
        <v>830</v>
      </c>
      <c r="C28" s="1015"/>
      <c r="D28" s="1015"/>
      <c r="E28" s="1015"/>
      <c r="F28" s="1015"/>
      <c r="G28" s="1015"/>
      <c r="H28" s="1015"/>
      <c r="I28" s="1015"/>
      <c r="J28" s="1015"/>
      <c r="K28" s="1015"/>
      <c r="L28" s="1015"/>
      <c r="M28" s="1014"/>
    </row>
    <row r="29" spans="2:13" ht="15.75">
      <c r="B29" s="1016" t="s">
        <v>829</v>
      </c>
      <c r="C29" s="1015"/>
      <c r="D29" s="1015"/>
      <c r="E29" s="1015"/>
      <c r="F29" s="1015"/>
      <c r="G29" s="1015"/>
      <c r="H29" s="1015"/>
      <c r="I29" s="1015"/>
      <c r="J29" s="1015"/>
      <c r="K29" s="1015"/>
      <c r="L29" s="1015"/>
      <c r="M29" s="1014"/>
    </row>
    <row r="30" spans="2:13" ht="16.5" thickBot="1">
      <c r="B30" s="1013" t="s">
        <v>828</v>
      </c>
      <c r="C30" s="1012"/>
      <c r="D30" s="1012"/>
      <c r="E30" s="1012"/>
      <c r="F30" s="1012"/>
      <c r="G30" s="1012"/>
      <c r="H30" s="1012"/>
      <c r="I30" s="1012"/>
      <c r="J30" s="1012"/>
      <c r="K30" s="1012"/>
      <c r="L30" s="1012"/>
      <c r="M30" s="1011"/>
    </row>
  </sheetData>
  <customSheetViews>
    <customSheetView guid="{5A4827F7-D52D-44AD-B257-2AB13F875B96}" scale="75">
      <selection activeCell="C34" activeCellId="1" sqref="A33 C3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6:M26"/>
  </mergeCells>
  <printOptions horizontalCentered="1"/>
  <pageMargins left="0.25" right="0.25" top="1" bottom="1" header="0.5" footer="0.5"/>
  <pageSetup scale="110" orientation="landscape"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B1:P50"/>
  <sheetViews>
    <sheetView zoomScale="85" zoomScaleNormal="85" workbookViewId="0">
      <selection activeCell="R44" sqref="R44"/>
    </sheetView>
  </sheetViews>
  <sheetFormatPr defaultColWidth="8.81640625" defaultRowHeight="13"/>
  <cols>
    <col min="2" max="2" width="23.5" customWidth="1"/>
    <col min="3" max="3" width="10.1796875" customWidth="1"/>
    <col min="4" max="4" width="16.1796875" customWidth="1"/>
    <col min="5" max="5" width="11.1796875" customWidth="1"/>
    <col min="6" max="6" width="12.6796875" customWidth="1"/>
    <col min="9" max="9" width="11.6796875" customWidth="1"/>
    <col min="11" max="11" width="10.1796875" customWidth="1"/>
  </cols>
  <sheetData>
    <row r="1" spans="2:16">
      <c r="B1" s="903"/>
      <c r="C1" s="903"/>
      <c r="D1" s="903"/>
      <c r="E1" s="903"/>
      <c r="F1" s="903"/>
      <c r="G1" s="903"/>
      <c r="H1" s="903"/>
      <c r="I1" s="903"/>
      <c r="J1" s="903"/>
      <c r="K1" s="903"/>
      <c r="L1" s="903"/>
      <c r="M1" s="903"/>
      <c r="N1" s="903"/>
      <c r="O1" s="903"/>
      <c r="P1" s="903"/>
    </row>
    <row r="2" spans="2:16" ht="13.75" thickBot="1">
      <c r="B2" s="903"/>
      <c r="C2" s="903"/>
      <c r="D2" s="903"/>
      <c r="E2" s="903"/>
      <c r="F2" s="903"/>
      <c r="G2" s="903"/>
      <c r="H2" s="903"/>
      <c r="I2" s="903"/>
      <c r="J2" s="903"/>
      <c r="K2" s="903"/>
      <c r="L2" s="903"/>
      <c r="M2" s="903"/>
      <c r="N2" s="903"/>
      <c r="O2" s="903"/>
      <c r="P2" s="903"/>
    </row>
    <row r="3" spans="2:16" ht="30">
      <c r="B3" s="903"/>
      <c r="C3" s="1265" t="s">
        <v>309</v>
      </c>
      <c r="D3" s="1266"/>
      <c r="E3" s="1266"/>
      <c r="F3" s="1266"/>
      <c r="G3" s="1266"/>
      <c r="H3" s="1266"/>
      <c r="I3" s="1266"/>
      <c r="J3" s="1266"/>
      <c r="K3" s="1266"/>
      <c r="L3" s="1266"/>
      <c r="M3" s="1266"/>
      <c r="N3" s="1266"/>
      <c r="O3" s="1266"/>
      <c r="P3" s="1267"/>
    </row>
    <row r="4" spans="2:16" ht="15.5">
      <c r="B4" s="903"/>
      <c r="C4" s="1268" t="s">
        <v>101</v>
      </c>
      <c r="D4" s="1269"/>
      <c r="E4" s="1269"/>
      <c r="F4" s="1269"/>
      <c r="G4" s="1269"/>
      <c r="H4" s="1269"/>
      <c r="I4" s="1269"/>
      <c r="J4" s="1269"/>
      <c r="K4" s="1269"/>
      <c r="L4" s="1269"/>
      <c r="M4" s="1269"/>
      <c r="N4" s="1269"/>
      <c r="O4" s="1269"/>
      <c r="P4" s="1097"/>
    </row>
    <row r="5" spans="2:16" ht="21.25" thickBot="1">
      <c r="B5" s="903"/>
      <c r="C5" s="1065"/>
      <c r="D5" s="1096"/>
      <c r="E5" s="947"/>
      <c r="F5" s="947"/>
      <c r="G5" s="947"/>
      <c r="H5" s="947"/>
      <c r="I5" s="947"/>
      <c r="J5" s="947"/>
      <c r="K5" s="947"/>
      <c r="L5" s="947"/>
      <c r="M5" s="947"/>
      <c r="N5" s="947"/>
      <c r="O5" s="1012"/>
      <c r="P5" s="1034"/>
    </row>
    <row r="6" spans="2:16" ht="13.75" thickBot="1">
      <c r="B6" s="903"/>
      <c r="C6" s="1065"/>
      <c r="D6" s="1092"/>
      <c r="E6" s="1095">
        <v>2001</v>
      </c>
      <c r="F6" s="1095">
        <f t="shared" ref="F6:M6" si="0">E6+1</f>
        <v>2002</v>
      </c>
      <c r="G6" s="1095">
        <f t="shared" si="0"/>
        <v>2003</v>
      </c>
      <c r="H6" s="1095">
        <f t="shared" si="0"/>
        <v>2004</v>
      </c>
      <c r="I6" s="1095">
        <f t="shared" si="0"/>
        <v>2005</v>
      </c>
      <c r="J6" s="1095">
        <f t="shared" si="0"/>
        <v>2006</v>
      </c>
      <c r="K6" s="1095">
        <f t="shared" si="0"/>
        <v>2007</v>
      </c>
      <c r="L6" s="1095">
        <f t="shared" si="0"/>
        <v>2008</v>
      </c>
      <c r="M6" s="1095">
        <f t="shared" si="0"/>
        <v>2009</v>
      </c>
      <c r="N6" s="1094">
        <v>2010</v>
      </c>
      <c r="O6" s="1093">
        <v>2011</v>
      </c>
      <c r="P6" s="1034"/>
    </row>
    <row r="7" spans="2:16">
      <c r="B7" s="903"/>
      <c r="C7" s="1065"/>
      <c r="D7" s="1092" t="s">
        <v>961</v>
      </c>
      <c r="E7" s="1091">
        <f>E9*E10</f>
        <v>1.7087336980675312</v>
      </c>
      <c r="F7" s="1091">
        <f t="shared" ref="F7:M7" si="1">F9*F10</f>
        <v>3.2655991326896849</v>
      </c>
      <c r="G7" s="1091">
        <f t="shared" si="1"/>
        <v>9.4907298756160436</v>
      </c>
      <c r="H7" s="1091">
        <f t="shared" si="1"/>
        <v>15.290725233054189</v>
      </c>
      <c r="I7" s="1091">
        <f t="shared" si="1"/>
        <v>14.716692189892814</v>
      </c>
      <c r="J7" s="1091">
        <f t="shared" si="1"/>
        <v>18.235591141888481</v>
      </c>
      <c r="K7" s="1091">
        <f t="shared" si="1"/>
        <v>19.432329525787473</v>
      </c>
      <c r="L7" s="1091">
        <f t="shared" si="1"/>
        <v>13.430613460393092</v>
      </c>
      <c r="M7" s="1091">
        <f t="shared" si="1"/>
        <v>13.963157221440449</v>
      </c>
      <c r="N7" s="1090">
        <f>N9*N10</f>
        <v>13.599098817197572</v>
      </c>
      <c r="O7" s="1090">
        <f>O9*O10</f>
        <v>14.050776338272824</v>
      </c>
      <c r="P7" s="1034"/>
    </row>
    <row r="8" spans="2:16">
      <c r="B8" s="903"/>
      <c r="C8" s="1065"/>
      <c r="D8" s="1089"/>
      <c r="E8" s="1088"/>
      <c r="F8" s="1088"/>
      <c r="G8" s="1088"/>
      <c r="H8" s="1088"/>
      <c r="I8" s="1088"/>
      <c r="J8" s="1088"/>
      <c r="K8" s="1088"/>
      <c r="L8" s="1088"/>
      <c r="M8" s="1088"/>
      <c r="N8" s="1087"/>
      <c r="O8" s="1087"/>
      <c r="P8" s="1034"/>
    </row>
    <row r="9" spans="2:16">
      <c r="B9" s="903"/>
      <c r="C9" s="1065"/>
      <c r="D9" s="1089" t="s">
        <v>960</v>
      </c>
      <c r="E9" s="1088">
        <f>'Ratios (2)'!D18</f>
        <v>1.2375369714802382</v>
      </c>
      <c r="F9" s="1088">
        <f>'Ratios (2)'!E18</f>
        <v>1.2870181812854364</v>
      </c>
      <c r="G9" s="1088">
        <f>'Ratios (2)'!F18</f>
        <v>1.3301924430884771</v>
      </c>
      <c r="H9" s="1088">
        <f>'Ratios (2)'!G18</f>
        <v>1.2778578764417758</v>
      </c>
      <c r="I9" s="1088">
        <f>'Ratios (2)'!H18</f>
        <v>1.1988635447731115</v>
      </c>
      <c r="J9" s="1088">
        <f>'Ratios (2)'!I18</f>
        <v>1.1778835749837697</v>
      </c>
      <c r="K9" s="1088">
        <f>'Ratios (2)'!J18</f>
        <v>1.2395292488750433</v>
      </c>
      <c r="L9" s="1088">
        <f>'Ratios (2)'!K18</f>
        <v>1.2959350804050029</v>
      </c>
      <c r="M9" s="1088">
        <f>'Ratios (2)'!L18</f>
        <v>1.2542535499552259</v>
      </c>
      <c r="N9" s="1087">
        <f>'Ratios (2)'!M18</f>
        <v>1.2055197446648727</v>
      </c>
      <c r="O9" s="1087">
        <f>(BS!L17+SUM(workingcap!L11:L12)-workingcap!L19)/BS!L29</f>
        <v>1.3646246949325676</v>
      </c>
      <c r="P9" s="1034"/>
    </row>
    <row r="10" spans="2:16">
      <c r="B10" s="903"/>
      <c r="C10" s="1065"/>
      <c r="D10" s="1089" t="s">
        <v>959</v>
      </c>
      <c r="E10" s="1088">
        <f>E12*E13</f>
        <v>1.3807536562109226</v>
      </c>
      <c r="F10" s="1088">
        <f t="shared" ref="F10:M10" si="2">F12*F13</f>
        <v>2.5373372188325258</v>
      </c>
      <c r="G10" s="1088">
        <f t="shared" si="2"/>
        <v>7.1348547534822915</v>
      </c>
      <c r="H10" s="1088">
        <f t="shared" si="2"/>
        <v>11.965904436596313</v>
      </c>
      <c r="I10" s="1088">
        <f t="shared" si="2"/>
        <v>12.27553565545943</v>
      </c>
      <c r="J10" s="1088">
        <f t="shared" si="2"/>
        <v>15.481658399167127</v>
      </c>
      <c r="K10" s="1088">
        <f t="shared" si="2"/>
        <v>15.67718514381458</v>
      </c>
      <c r="L10" s="1088">
        <f t="shared" si="2"/>
        <v>10.363646808755099</v>
      </c>
      <c r="M10" s="1088">
        <f t="shared" si="2"/>
        <v>11.132643174052729</v>
      </c>
      <c r="N10" s="1087">
        <f>N12*N13</f>
        <v>11.280693557597466</v>
      </c>
      <c r="O10" s="1087">
        <f>O12*O13</f>
        <v>10.296440032522742</v>
      </c>
      <c r="P10" s="1034"/>
    </row>
    <row r="11" spans="2:16">
      <c r="B11" s="903"/>
      <c r="C11" s="1065"/>
      <c r="D11" s="1089"/>
      <c r="E11" s="1088"/>
      <c r="F11" s="1088"/>
      <c r="G11" s="1088"/>
      <c r="H11" s="1088"/>
      <c r="I11" s="1088"/>
      <c r="J11" s="1088"/>
      <c r="K11" s="1088"/>
      <c r="L11" s="1088"/>
      <c r="M11" s="1088"/>
      <c r="N11" s="1087"/>
      <c r="O11" s="1087"/>
      <c r="P11" s="1034"/>
    </row>
    <row r="12" spans="2:16">
      <c r="B12" s="903"/>
      <c r="C12" s="1065"/>
      <c r="D12" s="1089" t="s">
        <v>958</v>
      </c>
      <c r="E12" s="1088">
        <f>'Ratios (2)'!D24</f>
        <v>1.4595769190491232</v>
      </c>
      <c r="F12" s="1088">
        <f>'Ratios (2)'!E24</f>
        <v>2.4541430867813161</v>
      </c>
      <c r="G12" s="1088">
        <f>'Ratios (2)'!F24</f>
        <v>7.1514465586758087</v>
      </c>
      <c r="H12" s="1088">
        <f>'Ratios (2)'!G24</f>
        <v>11.948452812717026</v>
      </c>
      <c r="I12" s="1088">
        <f>'Ratios (2)'!H24</f>
        <v>13.328904721581463</v>
      </c>
      <c r="J12" s="1088">
        <f>'Ratios (2)'!I24</f>
        <v>18.374763773804332</v>
      </c>
      <c r="K12" s="1088">
        <f>'Ratios (2)'!J24</f>
        <v>20.439816500400497</v>
      </c>
      <c r="L12" s="1088">
        <f>'Ratios (2)'!K24</f>
        <v>13.272513243084168</v>
      </c>
      <c r="M12" s="1088">
        <f>'Ratios (2)'!L24</f>
        <v>16.801354575540675</v>
      </c>
      <c r="N12" s="1087">
        <f>'Ratios (2)'!M24</f>
        <v>16.201908738443183</v>
      </c>
      <c r="O12" s="1087">
        <f>IS!L25/SUM(IS!L7:L8)*100</f>
        <v>12.359769496734547</v>
      </c>
      <c r="P12" s="1034"/>
    </row>
    <row r="13" spans="2:16" ht="13.75" thickBot="1">
      <c r="B13" s="903"/>
      <c r="C13" s="1065"/>
      <c r="D13" s="1086" t="s">
        <v>957</v>
      </c>
      <c r="E13" s="1085">
        <f>'Ratios (2)'!D14</f>
        <v>0.94599581439698843</v>
      </c>
      <c r="F13" s="1085">
        <f>'Ratios (2)'!E14</f>
        <v>1.033899462708314</v>
      </c>
      <c r="G13" s="1085">
        <f>'Ratios (2)'!F14</f>
        <v>0.99767993719069481</v>
      </c>
      <c r="H13" s="1085">
        <f>'Ratios (2)'!G14</f>
        <v>1.0014605760388251</v>
      </c>
      <c r="I13" s="1085">
        <f>'Ratios (2)'!H14</f>
        <v>0.92097107090753882</v>
      </c>
      <c r="J13" s="1085">
        <f>'Ratios (2)'!I14</f>
        <v>0.84255006430277424</v>
      </c>
      <c r="K13" s="1085">
        <f>'Ratios (2)'!J14</f>
        <v>0.76699246020664624</v>
      </c>
      <c r="L13" s="1085">
        <f>'Ratios (2)'!K14</f>
        <v>0.78083529614522895</v>
      </c>
      <c r="M13" s="1085">
        <f>'Ratios (2)'!L14</f>
        <v>0.66260390636952415</v>
      </c>
      <c r="N13" s="1084">
        <f>'Ratios (2)'!M14</f>
        <v>0.6962570731454083</v>
      </c>
      <c r="O13" s="1084">
        <f>SUM(IS!L7:L8)/BS!L29</f>
        <v>0.83306084593592655</v>
      </c>
      <c r="P13" s="1034"/>
    </row>
    <row r="14" spans="2:16" ht="15.25">
      <c r="B14" s="903"/>
      <c r="C14" s="1065"/>
      <c r="D14" s="1082"/>
      <c r="E14" s="1018"/>
      <c r="F14" s="1018"/>
      <c r="G14" s="1018"/>
      <c r="H14" s="1018"/>
      <c r="I14" s="1018"/>
      <c r="J14" s="1018"/>
      <c r="K14" s="1018"/>
      <c r="L14" s="1018"/>
      <c r="M14" s="1018"/>
      <c r="N14" s="1018"/>
      <c r="O14" s="1018"/>
      <c r="P14" s="1034"/>
    </row>
    <row r="15" spans="2:16" ht="13.25">
      <c r="B15" s="903"/>
      <c r="C15" s="1065"/>
      <c r="D15" s="1209" t="s">
        <v>825</v>
      </c>
      <c r="E15" s="947"/>
      <c r="F15" s="947"/>
      <c r="G15" s="947"/>
      <c r="H15" s="947"/>
      <c r="I15" s="947"/>
      <c r="J15" s="947"/>
      <c r="K15" s="947"/>
      <c r="L15" s="947"/>
      <c r="M15" s="947"/>
      <c r="N15" s="947"/>
      <c r="O15" s="947"/>
      <c r="P15" s="1034"/>
    </row>
    <row r="16" spans="2:16" ht="16" thickBot="1">
      <c r="B16" s="903"/>
      <c r="C16" s="1080"/>
      <c r="D16" s="1079"/>
      <c r="E16" s="1012"/>
      <c r="F16" s="1012"/>
      <c r="G16" s="1012"/>
      <c r="H16" s="1012"/>
      <c r="I16" s="1012"/>
      <c r="J16" s="1012"/>
      <c r="K16" s="1012"/>
      <c r="L16" s="1012"/>
      <c r="M16" s="1012"/>
      <c r="N16" s="1012"/>
      <c r="O16" s="1012"/>
      <c r="P16" s="1011"/>
    </row>
    <row r="17" spans="2:16">
      <c r="B17" s="903"/>
      <c r="C17" s="903"/>
      <c r="D17" s="903"/>
      <c r="E17" s="903"/>
      <c r="F17" s="903"/>
      <c r="G17" s="903"/>
      <c r="H17" s="903"/>
      <c r="I17" s="903"/>
      <c r="J17" s="903"/>
      <c r="K17" s="903"/>
      <c r="L17" s="903"/>
      <c r="M17" s="903"/>
      <c r="N17" s="903"/>
      <c r="O17" s="903"/>
      <c r="P17" s="903"/>
    </row>
    <row r="18" spans="2:16">
      <c r="B18" s="903"/>
      <c r="C18" s="1078"/>
      <c r="D18" s="1077"/>
      <c r="E18" s="1077"/>
      <c r="F18" s="1077"/>
      <c r="G18" s="1077"/>
      <c r="H18" s="1077"/>
      <c r="I18" s="1077"/>
      <c r="J18" s="1077"/>
      <c r="K18" s="1077"/>
      <c r="L18" s="1077"/>
      <c r="M18" s="1077"/>
      <c r="N18" s="1077"/>
      <c r="O18" s="1077"/>
      <c r="P18" s="1076"/>
    </row>
    <row r="19" spans="2:16" ht="13.25">
      <c r="B19" s="903"/>
      <c r="C19" s="1270" t="s">
        <v>956</v>
      </c>
      <c r="D19" s="1271"/>
      <c r="E19" s="1271"/>
      <c r="F19" s="1271"/>
      <c r="G19" s="1271"/>
      <c r="H19" s="1271"/>
      <c r="I19" s="1271"/>
      <c r="J19" s="1271"/>
      <c r="K19" s="1271"/>
      <c r="L19" s="1271"/>
      <c r="M19" s="1271"/>
      <c r="N19" s="1271"/>
      <c r="O19" s="1271"/>
      <c r="P19" s="1272"/>
    </row>
    <row r="20" spans="2:16" ht="13.25">
      <c r="B20" s="903"/>
      <c r="C20" s="1273" t="s">
        <v>955</v>
      </c>
      <c r="D20" s="1274"/>
      <c r="E20" s="1274"/>
      <c r="F20" s="1274"/>
      <c r="G20" s="1274"/>
      <c r="H20" s="1274"/>
      <c r="I20" s="1274"/>
      <c r="J20" s="1274"/>
      <c r="K20" s="1274"/>
      <c r="L20" s="1274"/>
      <c r="M20" s="1274"/>
      <c r="N20" s="1274"/>
      <c r="O20" s="1274"/>
      <c r="P20" s="1275"/>
    </row>
    <row r="21" spans="2:16" ht="13.25">
      <c r="B21" s="903"/>
      <c r="C21" s="1273" t="s">
        <v>954</v>
      </c>
      <c r="D21" s="1274"/>
      <c r="E21" s="1274"/>
      <c r="F21" s="1274"/>
      <c r="G21" s="1274"/>
      <c r="H21" s="1274"/>
      <c r="I21" s="1274"/>
      <c r="J21" s="1274"/>
      <c r="K21" s="1274"/>
      <c r="L21" s="1274"/>
      <c r="M21" s="1274"/>
      <c r="N21" s="1274"/>
      <c r="O21" s="1274"/>
      <c r="P21" s="1275"/>
    </row>
    <row r="22" spans="2:16" ht="13.25">
      <c r="B22" s="903"/>
      <c r="C22" s="1273" t="s">
        <v>953</v>
      </c>
      <c r="D22" s="1274"/>
      <c r="E22" s="1274"/>
      <c r="F22" s="1274"/>
      <c r="G22" s="1274"/>
      <c r="H22" s="1274"/>
      <c r="I22" s="1274"/>
      <c r="J22" s="1274"/>
      <c r="K22" s="1274"/>
      <c r="L22" s="1274"/>
      <c r="M22" s="1274"/>
      <c r="N22" s="1274"/>
      <c r="O22" s="1274"/>
      <c r="P22" s="1275"/>
    </row>
    <row r="23" spans="2:16">
      <c r="B23" s="903"/>
      <c r="C23" s="1075"/>
      <c r="D23" s="1074"/>
      <c r="E23" s="1074"/>
      <c r="F23" s="1074"/>
      <c r="G23" s="1074"/>
      <c r="H23" s="1074"/>
      <c r="I23" s="1074"/>
      <c r="J23" s="1074"/>
      <c r="K23" s="1074"/>
      <c r="L23" s="1074"/>
      <c r="M23" s="1074"/>
      <c r="N23" s="1074"/>
      <c r="O23" s="1074"/>
      <c r="P23" s="1073"/>
    </row>
    <row r="25" spans="2:16" ht="13.75" thickBot="1"/>
    <row r="26" spans="2:16" ht="13.75" thickBot="1">
      <c r="F26" s="1207" t="s">
        <v>1147</v>
      </c>
    </row>
    <row r="27" spans="2:16" ht="22.25" thickBot="1">
      <c r="B27" s="1176"/>
      <c r="C27" s="1177" t="s">
        <v>1109</v>
      </c>
      <c r="D27" s="1178" t="s">
        <v>1145</v>
      </c>
      <c r="E27" s="1202" t="s">
        <v>1148</v>
      </c>
      <c r="F27" s="1208" t="s">
        <v>1146</v>
      </c>
      <c r="G27" s="1178" t="s">
        <v>1132</v>
      </c>
      <c r="H27" s="1178" t="s">
        <v>1133</v>
      </c>
      <c r="I27" s="1178" t="s">
        <v>1134</v>
      </c>
      <c r="J27" s="1178" t="s">
        <v>1136</v>
      </c>
      <c r="K27" s="1178" t="s">
        <v>1135</v>
      </c>
    </row>
    <row r="28" spans="2:16" ht="14.5" thickTop="1" thickBot="1">
      <c r="B28" s="1181" t="s">
        <v>1116</v>
      </c>
      <c r="C28" s="1173">
        <v>1.04</v>
      </c>
      <c r="D28" s="1175">
        <v>1.67</v>
      </c>
      <c r="E28" s="1203">
        <v>1.3</v>
      </c>
      <c r="F28" s="1205">
        <f>E28*SUM(IS!L7,IS!L8)/shares!L14</f>
        <v>57.729314756895086</v>
      </c>
      <c r="G28" s="1175">
        <v>1.1100000000000001</v>
      </c>
      <c r="H28" s="1175">
        <v>0.55000000000000004</v>
      </c>
      <c r="I28" s="1175">
        <v>0.9</v>
      </c>
      <c r="J28" s="1175">
        <v>0.87</v>
      </c>
      <c r="K28" s="1183">
        <v>1.47</v>
      </c>
      <c r="M28" s="93"/>
    </row>
    <row r="29" spans="2:16" ht="13.75" thickBot="1">
      <c r="B29" s="1181" t="s">
        <v>1117</v>
      </c>
      <c r="C29" s="1173">
        <v>0.61</v>
      </c>
      <c r="D29" s="1175">
        <v>1.1499999999999999</v>
      </c>
      <c r="E29" s="1203">
        <v>1.1000000000000001</v>
      </c>
      <c r="F29" s="1205">
        <f>E29*BS!L29/shares!L14</f>
        <v>58.636631352531261</v>
      </c>
      <c r="G29" s="1175">
        <v>1.05</v>
      </c>
      <c r="H29" s="1175">
        <v>0.9</v>
      </c>
      <c r="I29" s="1175">
        <v>2.25</v>
      </c>
      <c r="J29" s="1175">
        <v>0.7</v>
      </c>
      <c r="K29" s="1183">
        <v>1.1000000000000001</v>
      </c>
      <c r="M29" s="93"/>
    </row>
    <row r="30" spans="2:16" ht="13.75" thickBot="1">
      <c r="B30" s="1181" t="s">
        <v>1118</v>
      </c>
      <c r="C30" s="1173">
        <v>23.15</v>
      </c>
      <c r="D30" s="1175">
        <v>9.86</v>
      </c>
      <c r="E30" s="1203">
        <v>10</v>
      </c>
      <c r="F30" s="1205">
        <f>E30*IS!K25/shares!L14</f>
        <v>74.14273528575491</v>
      </c>
      <c r="G30" s="1175">
        <v>8.6999999999999993</v>
      </c>
      <c r="H30" s="1175">
        <v>18.62</v>
      </c>
      <c r="I30" s="1175">
        <v>12.67</v>
      </c>
      <c r="J30" s="1175">
        <v>15.01</v>
      </c>
      <c r="K30" s="1183">
        <v>14.76</v>
      </c>
      <c r="M30" s="93"/>
      <c r="N30" s="1232"/>
    </row>
    <row r="31" spans="2:16" ht="13.75" thickBot="1">
      <c r="B31" s="1181" t="s">
        <v>1119</v>
      </c>
      <c r="C31" s="1173">
        <v>28.2</v>
      </c>
      <c r="D31" s="1175">
        <v>10.59</v>
      </c>
      <c r="E31" s="1203">
        <v>9</v>
      </c>
      <c r="F31" s="1205">
        <f>IS!L25*multiples!E31/shares!L14</f>
        <v>49.397609326130265</v>
      </c>
      <c r="G31" s="1175">
        <v>9.6999999999999993</v>
      </c>
      <c r="H31" s="1175">
        <v>9.0299999999999994</v>
      </c>
      <c r="I31" s="1175">
        <v>13.16</v>
      </c>
      <c r="J31" s="1175">
        <v>11.26</v>
      </c>
      <c r="K31" s="1183">
        <v>23.05</v>
      </c>
    </row>
    <row r="32" spans="2:16" ht="13.75" thickBot="1">
      <c r="B32" s="1184" t="s">
        <v>1120</v>
      </c>
      <c r="C32" s="1185">
        <v>1.18</v>
      </c>
      <c r="D32" s="1186">
        <v>1.43</v>
      </c>
      <c r="E32" s="1204">
        <v>1.2</v>
      </c>
      <c r="F32" s="1206">
        <f>SUM(IS!L7:L8)*multiples!E32/shares!L14</f>
        <v>53.288598237133925</v>
      </c>
      <c r="G32" s="1186">
        <v>1.1100000000000001</v>
      </c>
      <c r="H32" s="1186">
        <v>0.61</v>
      </c>
      <c r="I32" s="1186">
        <v>0.87</v>
      </c>
      <c r="J32" s="1186">
        <v>1.08</v>
      </c>
      <c r="K32" s="1233">
        <v>1.5</v>
      </c>
    </row>
    <row r="33" spans="2:6">
      <c r="B33" t="s">
        <v>1131</v>
      </c>
      <c r="E33" s="7" t="s">
        <v>1152</v>
      </c>
      <c r="F33" s="1225">
        <f>AVERAGE(F28:F32)</f>
        <v>58.638977791689094</v>
      </c>
    </row>
    <row r="36" spans="2:6" ht="14.25">
      <c r="B36" s="1234" t="s">
        <v>1158</v>
      </c>
      <c r="C36" s="1234" t="s">
        <v>40</v>
      </c>
      <c r="D36" s="1234" t="s">
        <v>1159</v>
      </c>
      <c r="E36" s="1234" t="s">
        <v>1161</v>
      </c>
      <c r="F36" s="1234" t="s">
        <v>1160</v>
      </c>
    </row>
    <row r="37" spans="2:6" ht="15" thickBot="1">
      <c r="B37" s="1235" t="s">
        <v>1116</v>
      </c>
      <c r="C37" s="1234">
        <v>1.3</v>
      </c>
      <c r="D37" s="1236">
        <v>57.7293147568951</v>
      </c>
      <c r="E37" s="1237">
        <v>0</v>
      </c>
      <c r="F37" s="1236">
        <f>E37*D37</f>
        <v>0</v>
      </c>
    </row>
    <row r="38" spans="2:6" ht="15" thickBot="1">
      <c r="B38" s="1235" t="s">
        <v>1117</v>
      </c>
      <c r="C38" s="1234">
        <v>1.1000000000000001</v>
      </c>
      <c r="D38" s="1236">
        <v>58.636631352531261</v>
      </c>
      <c r="E38" s="1237">
        <v>0.5</v>
      </c>
      <c r="F38" s="1236">
        <f t="shared" ref="F38:F43" si="3">E38*D38</f>
        <v>29.31831567626563</v>
      </c>
    </row>
    <row r="39" spans="2:6" ht="15" thickBot="1">
      <c r="B39" s="1235" t="s">
        <v>1118</v>
      </c>
      <c r="C39" s="1234">
        <v>10</v>
      </c>
      <c r="D39" s="1236">
        <v>74.14273528575491</v>
      </c>
      <c r="E39" s="1237">
        <v>0</v>
      </c>
      <c r="F39" s="1236">
        <f t="shared" si="3"/>
        <v>0</v>
      </c>
    </row>
    <row r="40" spans="2:6" ht="15" thickBot="1">
      <c r="B40" s="1235" t="s">
        <v>1119</v>
      </c>
      <c r="C40" s="1234">
        <v>9</v>
      </c>
      <c r="D40" s="1236">
        <v>49.397609326130265</v>
      </c>
      <c r="E40" s="1237">
        <v>0.1</v>
      </c>
      <c r="F40" s="1236">
        <f t="shared" si="3"/>
        <v>4.9397609326130265</v>
      </c>
    </row>
    <row r="41" spans="2:6" ht="15" thickBot="1">
      <c r="B41" s="1238" t="s">
        <v>1120</v>
      </c>
      <c r="C41" s="1234">
        <v>1.2</v>
      </c>
      <c r="D41" s="1236">
        <v>53.288598237133925</v>
      </c>
      <c r="E41" s="1237">
        <v>0.05</v>
      </c>
      <c r="F41" s="1236">
        <f t="shared" si="3"/>
        <v>2.6644299118566965</v>
      </c>
    </row>
    <row r="42" spans="2:6" ht="14.25">
      <c r="B42" s="1239" t="s">
        <v>1155</v>
      </c>
      <c r="C42" s="1234"/>
      <c r="D42" s="1236">
        <v>48.79</v>
      </c>
      <c r="E42" s="1237">
        <v>0.1</v>
      </c>
      <c r="F42" s="1236">
        <f t="shared" si="3"/>
        <v>4.8790000000000004</v>
      </c>
    </row>
    <row r="43" spans="2:6" ht="14.25">
      <c r="B43" s="1239" t="s">
        <v>1156</v>
      </c>
      <c r="C43" s="1234"/>
      <c r="D43" s="1236">
        <v>41.76</v>
      </c>
      <c r="E43" s="1237">
        <v>0.2</v>
      </c>
      <c r="F43" s="1236">
        <f t="shared" si="3"/>
        <v>8.3520000000000003</v>
      </c>
    </row>
    <row r="44" spans="2:6">
      <c r="B44" s="1262" t="s">
        <v>1157</v>
      </c>
      <c r="C44" s="1262"/>
      <c r="D44" s="1262"/>
      <c r="E44" s="1263">
        <f>SUM(F37:F43)</f>
        <v>50.153506520735348</v>
      </c>
      <c r="F44" s="1262"/>
    </row>
    <row r="45" spans="2:6">
      <c r="B45" s="1262"/>
      <c r="C45" s="1262"/>
      <c r="D45" s="1262"/>
      <c r="E45" s="1262"/>
      <c r="F45" s="1262"/>
    </row>
    <row r="46" spans="2:6">
      <c r="B46" s="1264" t="s">
        <v>1162</v>
      </c>
      <c r="C46" s="1264"/>
      <c r="D46" s="1264"/>
      <c r="E46" s="1264"/>
      <c r="F46" s="1264"/>
    </row>
    <row r="47" spans="2:6">
      <c r="B47" s="1264"/>
      <c r="C47" s="1264"/>
      <c r="D47" s="1264"/>
      <c r="E47" s="1264"/>
      <c r="F47" s="1264"/>
    </row>
    <row r="48" spans="2:6">
      <c r="B48" s="1264"/>
      <c r="C48" s="1264"/>
      <c r="D48" s="1264"/>
      <c r="E48" s="1264"/>
      <c r="F48" s="1264"/>
    </row>
    <row r="49" spans="2:6">
      <c r="B49" s="1264"/>
      <c r="C49" s="1264"/>
      <c r="D49" s="1264"/>
      <c r="E49" s="1264"/>
      <c r="F49" s="1264"/>
    </row>
    <row r="50" spans="2:6">
      <c r="B50" s="1264"/>
      <c r="C50" s="1264"/>
      <c r="D50" s="1264"/>
      <c r="E50" s="1264"/>
      <c r="F50" s="1264"/>
    </row>
  </sheetData>
  <mergeCells count="9">
    <mergeCell ref="B44:D45"/>
    <mergeCell ref="E44:F45"/>
    <mergeCell ref="B46:F50"/>
    <mergeCell ref="C3:P3"/>
    <mergeCell ref="C4:O4"/>
    <mergeCell ref="C19:P19"/>
    <mergeCell ref="C20:P20"/>
    <mergeCell ref="C21:P21"/>
    <mergeCell ref="C22:P22"/>
  </mergeCells>
  <pageMargins left="0.7" right="0.7" top="0.75" bottom="0.75" header="0.3" footer="0.3"/>
  <drawing r:id="rId1"/>
  <tableParts count="1">
    <tablePart r:id="rId2"/>
  </tablePart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B2:N23"/>
  <sheetViews>
    <sheetView zoomScale="85" zoomScaleNormal="85" workbookViewId="0">
      <selection activeCell="N23" sqref="A1:N23"/>
    </sheetView>
  </sheetViews>
  <sheetFormatPr defaultColWidth="9.1796875" defaultRowHeight="13"/>
  <cols>
    <col min="1" max="1" width="9.1796875" style="903"/>
    <col min="2" max="2" width="21" style="903" customWidth="1"/>
    <col min="3" max="3" width="11" style="903" customWidth="1"/>
    <col min="4" max="11" width="7.31640625" style="903" customWidth="1"/>
    <col min="12" max="12" width="8.1796875" style="903" bestFit="1" customWidth="1"/>
    <col min="13" max="13" width="12.5" style="903" bestFit="1" customWidth="1"/>
    <col min="14" max="14" width="12.6796875" style="903" bestFit="1" customWidth="1"/>
    <col min="15" max="16384" width="9.1796875" style="903"/>
  </cols>
  <sheetData>
    <row r="2" spans="2:14" ht="13.75" thickBot="1"/>
    <row r="3" spans="2:14" ht="30">
      <c r="B3" s="1265" t="str">
        <f>'Balance Sheet'!B3:M3</f>
        <v>The Chubb Corporation (CB)</v>
      </c>
      <c r="C3" s="1266"/>
      <c r="D3" s="1266"/>
      <c r="E3" s="1266"/>
      <c r="F3" s="1266"/>
      <c r="G3" s="1266"/>
      <c r="H3" s="1266"/>
      <c r="I3" s="1266"/>
      <c r="J3" s="1266"/>
      <c r="K3" s="1266"/>
      <c r="L3" s="1266"/>
      <c r="M3" s="1266"/>
      <c r="N3" s="1267"/>
    </row>
    <row r="4" spans="2:14" ht="15.5">
      <c r="B4" s="1268" t="s">
        <v>101</v>
      </c>
      <c r="C4" s="1269"/>
      <c r="D4" s="1269"/>
      <c r="E4" s="1269"/>
      <c r="F4" s="1269"/>
      <c r="G4" s="1269"/>
      <c r="H4" s="1269"/>
      <c r="I4" s="1269"/>
      <c r="J4" s="1269"/>
      <c r="K4" s="1269"/>
      <c r="L4" s="1269"/>
      <c r="M4" s="1269"/>
      <c r="N4" s="1097"/>
    </row>
    <row r="5" spans="2:14" ht="15" customHeight="1" thickBot="1">
      <c r="B5" s="1065"/>
      <c r="C5" s="1096"/>
      <c r="D5" s="947"/>
      <c r="E5" s="947"/>
      <c r="F5" s="947"/>
      <c r="G5" s="947"/>
      <c r="H5" s="947"/>
      <c r="I5" s="947"/>
      <c r="J5" s="947"/>
      <c r="K5" s="947"/>
      <c r="L5" s="947"/>
      <c r="M5" s="1012"/>
      <c r="N5" s="1034"/>
    </row>
    <row r="6" spans="2:14" ht="13.75" thickBot="1">
      <c r="B6" s="1065"/>
      <c r="C6" s="1092"/>
      <c r="D6" s="1095">
        <v>2001</v>
      </c>
      <c r="E6" s="1095">
        <f t="shared" ref="E6:L6" si="0">D6+1</f>
        <v>2002</v>
      </c>
      <c r="F6" s="1095">
        <f t="shared" si="0"/>
        <v>2003</v>
      </c>
      <c r="G6" s="1095">
        <f t="shared" si="0"/>
        <v>2004</v>
      </c>
      <c r="H6" s="1095">
        <f t="shared" si="0"/>
        <v>2005</v>
      </c>
      <c r="I6" s="1095">
        <f t="shared" si="0"/>
        <v>2006</v>
      </c>
      <c r="J6" s="1095">
        <f t="shared" si="0"/>
        <v>2007</v>
      </c>
      <c r="K6" s="1095">
        <f t="shared" si="0"/>
        <v>2008</v>
      </c>
      <c r="L6" s="1095">
        <f t="shared" si="0"/>
        <v>2009</v>
      </c>
      <c r="M6" s="1094">
        <v>2010</v>
      </c>
      <c r="N6" s="1093"/>
    </row>
    <row r="7" spans="2:14" ht="18" customHeight="1">
      <c r="B7" s="1065"/>
      <c r="C7" s="1092" t="s">
        <v>961</v>
      </c>
      <c r="D7" s="1091">
        <f t="shared" ref="D7:M7" si="1">D9*D10</f>
        <v>1.7087336980675312</v>
      </c>
      <c r="E7" s="1091">
        <f t="shared" si="1"/>
        <v>3.2655991326896849</v>
      </c>
      <c r="F7" s="1091">
        <f t="shared" si="1"/>
        <v>9.4907298756160436</v>
      </c>
      <c r="G7" s="1091">
        <f t="shared" si="1"/>
        <v>15.290725233054189</v>
      </c>
      <c r="H7" s="1091">
        <f t="shared" si="1"/>
        <v>14.716692189892814</v>
      </c>
      <c r="I7" s="1091">
        <f t="shared" si="1"/>
        <v>18.235591141888481</v>
      </c>
      <c r="J7" s="1091">
        <f t="shared" si="1"/>
        <v>19.432329525787473</v>
      </c>
      <c r="K7" s="1091">
        <f t="shared" si="1"/>
        <v>13.430613460393092</v>
      </c>
      <c r="L7" s="1091">
        <f t="shared" si="1"/>
        <v>13.963157221440449</v>
      </c>
      <c r="M7" s="1090">
        <f t="shared" si="1"/>
        <v>13.599098817197572</v>
      </c>
      <c r="N7" s="1083"/>
    </row>
    <row r="8" spans="2:14" ht="18" customHeight="1">
      <c r="B8" s="1065"/>
      <c r="C8" s="1089"/>
      <c r="D8" s="1088"/>
      <c r="E8" s="1088"/>
      <c r="F8" s="1088"/>
      <c r="G8" s="1088"/>
      <c r="H8" s="1088"/>
      <c r="I8" s="1088"/>
      <c r="J8" s="1088"/>
      <c r="K8" s="1088"/>
      <c r="L8" s="1088"/>
      <c r="M8" s="1087"/>
      <c r="N8" s="1083"/>
    </row>
    <row r="9" spans="2:14" ht="18" customHeight="1">
      <c r="B9" s="1065"/>
      <c r="C9" s="1089" t="s">
        <v>960</v>
      </c>
      <c r="D9" s="1088">
        <f>'Ratios (2)'!D18</f>
        <v>1.2375369714802382</v>
      </c>
      <c r="E9" s="1088">
        <f>'Ratios (2)'!E18</f>
        <v>1.2870181812854364</v>
      </c>
      <c r="F9" s="1088">
        <f>'Ratios (2)'!F18</f>
        <v>1.3301924430884771</v>
      </c>
      <c r="G9" s="1088">
        <f>'Ratios (2)'!G18</f>
        <v>1.2778578764417758</v>
      </c>
      <c r="H9" s="1088">
        <f>'Ratios (2)'!H18</f>
        <v>1.1988635447731115</v>
      </c>
      <c r="I9" s="1088">
        <f>'Ratios (2)'!I18</f>
        <v>1.1778835749837697</v>
      </c>
      <c r="J9" s="1088">
        <f>'Ratios (2)'!J18</f>
        <v>1.2395292488750433</v>
      </c>
      <c r="K9" s="1088">
        <f>'Ratios (2)'!K18</f>
        <v>1.2959350804050029</v>
      </c>
      <c r="L9" s="1088">
        <f>'Ratios (2)'!L18</f>
        <v>1.2542535499552259</v>
      </c>
      <c r="M9" s="1087">
        <f>'Ratios (2)'!M18</f>
        <v>1.2055197446648727</v>
      </c>
      <c r="N9" s="1083"/>
    </row>
    <row r="10" spans="2:14" ht="18" customHeight="1">
      <c r="B10" s="1065"/>
      <c r="C10" s="1089" t="s">
        <v>959</v>
      </c>
      <c r="D10" s="1088">
        <f t="shared" ref="D10:M10" si="2">D12*D13</f>
        <v>1.3807536562109226</v>
      </c>
      <c r="E10" s="1088">
        <f t="shared" si="2"/>
        <v>2.5373372188325258</v>
      </c>
      <c r="F10" s="1088">
        <f t="shared" si="2"/>
        <v>7.1348547534822915</v>
      </c>
      <c r="G10" s="1088">
        <f t="shared" si="2"/>
        <v>11.965904436596313</v>
      </c>
      <c r="H10" s="1088">
        <f t="shared" si="2"/>
        <v>12.27553565545943</v>
      </c>
      <c r="I10" s="1088">
        <f t="shared" si="2"/>
        <v>15.481658399167127</v>
      </c>
      <c r="J10" s="1088">
        <f t="shared" si="2"/>
        <v>15.67718514381458</v>
      </c>
      <c r="K10" s="1088">
        <f t="shared" si="2"/>
        <v>10.363646808755099</v>
      </c>
      <c r="L10" s="1088">
        <f t="shared" si="2"/>
        <v>11.132643174052729</v>
      </c>
      <c r="M10" s="1087">
        <f t="shared" si="2"/>
        <v>11.280693557597466</v>
      </c>
      <c r="N10" s="1083"/>
    </row>
    <row r="11" spans="2:14" ht="18" customHeight="1">
      <c r="B11" s="1065"/>
      <c r="C11" s="1089"/>
      <c r="D11" s="1088"/>
      <c r="E11" s="1088"/>
      <c r="F11" s="1088"/>
      <c r="G11" s="1088"/>
      <c r="H11" s="1088"/>
      <c r="I11" s="1088"/>
      <c r="J11" s="1088"/>
      <c r="K11" s="1088"/>
      <c r="L11" s="1088"/>
      <c r="M11" s="1087"/>
      <c r="N11" s="1083"/>
    </row>
    <row r="12" spans="2:14" ht="18" customHeight="1">
      <c r="B12" s="1065"/>
      <c r="C12" s="1089" t="s">
        <v>958</v>
      </c>
      <c r="D12" s="1088">
        <f>'Ratios (2)'!D24</f>
        <v>1.4595769190491232</v>
      </c>
      <c r="E12" s="1088">
        <f>'Ratios (2)'!E24</f>
        <v>2.4541430867813161</v>
      </c>
      <c r="F12" s="1088">
        <f>'Ratios (2)'!F24</f>
        <v>7.1514465586758087</v>
      </c>
      <c r="G12" s="1088">
        <f>'Ratios (2)'!G24</f>
        <v>11.948452812717026</v>
      </c>
      <c r="H12" s="1088">
        <f>'Ratios (2)'!H24</f>
        <v>13.328904721581463</v>
      </c>
      <c r="I12" s="1088">
        <f>'Ratios (2)'!I24</f>
        <v>18.374763773804332</v>
      </c>
      <c r="J12" s="1088">
        <f>'Ratios (2)'!J24</f>
        <v>20.439816500400497</v>
      </c>
      <c r="K12" s="1088">
        <f>'Ratios (2)'!K24</f>
        <v>13.272513243084168</v>
      </c>
      <c r="L12" s="1088">
        <f>'Ratios (2)'!L24</f>
        <v>16.801354575540675</v>
      </c>
      <c r="M12" s="1087">
        <f>'Ratios (2)'!M24</f>
        <v>16.201908738443183</v>
      </c>
      <c r="N12" s="1083"/>
    </row>
    <row r="13" spans="2:14" ht="18" customHeight="1" thickBot="1">
      <c r="B13" s="1065"/>
      <c r="C13" s="1086" t="s">
        <v>957</v>
      </c>
      <c r="D13" s="1085">
        <f>'Ratios (2)'!D14</f>
        <v>0.94599581439698843</v>
      </c>
      <c r="E13" s="1085">
        <f>'Ratios (2)'!E14</f>
        <v>1.033899462708314</v>
      </c>
      <c r="F13" s="1085">
        <f>'Ratios (2)'!F14</f>
        <v>0.99767993719069481</v>
      </c>
      <c r="G13" s="1085">
        <f>'Ratios (2)'!G14</f>
        <v>1.0014605760388251</v>
      </c>
      <c r="H13" s="1085">
        <f>'Ratios (2)'!H14</f>
        <v>0.92097107090753882</v>
      </c>
      <c r="I13" s="1085">
        <f>'Ratios (2)'!I14</f>
        <v>0.84255006430277424</v>
      </c>
      <c r="J13" s="1085">
        <f>'Ratios (2)'!J14</f>
        <v>0.76699246020664624</v>
      </c>
      <c r="K13" s="1085">
        <f>'Ratios (2)'!K14</f>
        <v>0.78083529614522895</v>
      </c>
      <c r="L13" s="1085">
        <f>'Ratios (2)'!L14</f>
        <v>0.66260390636952415</v>
      </c>
      <c r="M13" s="1084">
        <f>'Ratios (2)'!M14</f>
        <v>0.6962570731454083</v>
      </c>
      <c r="N13" s="1083"/>
    </row>
    <row r="14" spans="2:14" ht="15.25">
      <c r="B14" s="1065"/>
      <c r="C14" s="1082"/>
      <c r="D14" s="1018"/>
      <c r="E14" s="1018"/>
      <c r="F14" s="1018"/>
      <c r="G14" s="1018"/>
      <c r="H14" s="1018"/>
      <c r="I14" s="1018"/>
      <c r="J14" s="1018"/>
      <c r="K14" s="1018"/>
      <c r="L14" s="1018"/>
      <c r="M14" s="1018"/>
      <c r="N14" s="1034"/>
    </row>
    <row r="15" spans="2:14" ht="13.25">
      <c r="B15" s="1065"/>
      <c r="C15" s="1081" t="s">
        <v>825</v>
      </c>
      <c r="D15" s="947"/>
      <c r="E15" s="947"/>
      <c r="F15" s="947"/>
      <c r="G15" s="947"/>
      <c r="H15" s="947"/>
      <c r="I15" s="947"/>
      <c r="J15" s="947"/>
      <c r="K15" s="947"/>
      <c r="L15" s="947"/>
      <c r="M15" s="947"/>
      <c r="N15" s="1034"/>
    </row>
    <row r="16" spans="2:14" ht="16" thickBot="1">
      <c r="B16" s="1080"/>
      <c r="C16" s="1079"/>
      <c r="D16" s="1012"/>
      <c r="E16" s="1012"/>
      <c r="F16" s="1012"/>
      <c r="G16" s="1012"/>
      <c r="H16" s="1012"/>
      <c r="I16" s="1012"/>
      <c r="J16" s="1012"/>
      <c r="K16" s="1012"/>
      <c r="L16" s="1012"/>
      <c r="M16" s="1012"/>
      <c r="N16" s="1011"/>
    </row>
    <row r="18" spans="2:14">
      <c r="B18" s="1078"/>
      <c r="C18" s="1077"/>
      <c r="D18" s="1077"/>
      <c r="E18" s="1077"/>
      <c r="F18" s="1077"/>
      <c r="G18" s="1077"/>
      <c r="H18" s="1077"/>
      <c r="I18" s="1077"/>
      <c r="J18" s="1077"/>
      <c r="K18" s="1077"/>
      <c r="L18" s="1077"/>
      <c r="M18" s="1077"/>
      <c r="N18" s="1076"/>
    </row>
    <row r="19" spans="2:14" ht="13.25">
      <c r="B19" s="1270" t="s">
        <v>956</v>
      </c>
      <c r="C19" s="1271"/>
      <c r="D19" s="1271"/>
      <c r="E19" s="1271"/>
      <c r="F19" s="1271"/>
      <c r="G19" s="1271"/>
      <c r="H19" s="1271"/>
      <c r="I19" s="1271"/>
      <c r="J19" s="1271"/>
      <c r="K19" s="1271"/>
      <c r="L19" s="1271"/>
      <c r="M19" s="1271"/>
      <c r="N19" s="1272"/>
    </row>
    <row r="20" spans="2:14" ht="13.25">
      <c r="B20" s="1273" t="s">
        <v>955</v>
      </c>
      <c r="C20" s="1274"/>
      <c r="D20" s="1274"/>
      <c r="E20" s="1274"/>
      <c r="F20" s="1274"/>
      <c r="G20" s="1274"/>
      <c r="H20" s="1274"/>
      <c r="I20" s="1274"/>
      <c r="J20" s="1274"/>
      <c r="K20" s="1274"/>
      <c r="L20" s="1274"/>
      <c r="M20" s="1274"/>
      <c r="N20" s="1275"/>
    </row>
    <row r="21" spans="2:14" ht="13.25">
      <c r="B21" s="1273" t="s">
        <v>954</v>
      </c>
      <c r="C21" s="1274"/>
      <c r="D21" s="1274"/>
      <c r="E21" s="1274"/>
      <c r="F21" s="1274"/>
      <c r="G21" s="1274"/>
      <c r="H21" s="1274"/>
      <c r="I21" s="1274"/>
      <c r="J21" s="1274"/>
      <c r="K21" s="1274"/>
      <c r="L21" s="1274"/>
      <c r="M21" s="1274"/>
      <c r="N21" s="1275"/>
    </row>
    <row r="22" spans="2:14" ht="13.25">
      <c r="B22" s="1273" t="s">
        <v>953</v>
      </c>
      <c r="C22" s="1274"/>
      <c r="D22" s="1274"/>
      <c r="E22" s="1274"/>
      <c r="F22" s="1274"/>
      <c r="G22" s="1274"/>
      <c r="H22" s="1274"/>
      <c r="I22" s="1274"/>
      <c r="J22" s="1274"/>
      <c r="K22" s="1274"/>
      <c r="L22" s="1274"/>
      <c r="M22" s="1274"/>
      <c r="N22" s="1275"/>
    </row>
    <row r="23" spans="2:14">
      <c r="B23" s="1075"/>
      <c r="C23" s="1074"/>
      <c r="D23" s="1074"/>
      <c r="E23" s="1074"/>
      <c r="F23" s="1074"/>
      <c r="G23" s="1074"/>
      <c r="H23" s="1074"/>
      <c r="I23" s="1074"/>
      <c r="J23" s="1074"/>
      <c r="K23" s="1074"/>
      <c r="L23" s="1074"/>
      <c r="M23" s="1074"/>
      <c r="N23" s="1073"/>
    </row>
  </sheetData>
  <customSheetViews>
    <customSheetView guid="{5A4827F7-D52D-44AD-B257-2AB13F875B96}" scale="85">
      <selection activeCell="B21" sqref="B1:N21"/>
      <pageMargins left="0.25" right="0.25" top="1" bottom="1" header="0.5" footer="0.5"/>
      <printOptions horizontalCentered="1"/>
      <pageSetup scale="110" orientation="landscape" r:id="rId1"/>
      <headerFooter alignWithMargins="0"/>
    </customSheetView>
  </customSheetViews>
  <mergeCells count="6">
    <mergeCell ref="B3:N3"/>
    <mergeCell ref="B22:N22"/>
    <mergeCell ref="B4:M4"/>
    <mergeCell ref="B19:N19"/>
    <mergeCell ref="B20:N20"/>
    <mergeCell ref="B21:N21"/>
  </mergeCells>
  <printOptions horizontalCentered="1"/>
  <pageMargins left="0.25" right="0.25" top="1" bottom="1" header="0.5" footer="0.5"/>
  <pageSetup scale="110" orientation="landscape" r:id="rId2"/>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P34"/>
  <sheetViews>
    <sheetView topLeftCell="A25" zoomScale="85" zoomScaleNormal="85" workbookViewId="0">
      <selection activeCell="M14" sqref="M14"/>
    </sheetView>
  </sheetViews>
  <sheetFormatPr defaultColWidth="9.1796875" defaultRowHeight="13"/>
  <cols>
    <col min="1" max="1" width="9.1796875" style="903"/>
    <col min="2" max="2" width="21" style="903" customWidth="1"/>
    <col min="3" max="3" width="21.6796875" style="903" customWidth="1"/>
    <col min="4" max="13" width="10" style="903" customWidth="1"/>
    <col min="14" max="14" width="1.6796875" style="903" customWidth="1"/>
    <col min="15" max="15" width="26.81640625" style="903" bestFit="1" customWidth="1"/>
    <col min="16" max="16" width="11" style="903" bestFit="1" customWidth="1"/>
    <col min="17" max="16384" width="9.1796875" style="903"/>
  </cols>
  <sheetData>
    <row r="1" spans="2:16" ht="13.75" thickBot="1"/>
    <row r="2" spans="2:16" ht="30" customHeight="1" thickBot="1">
      <c r="B2" s="1265" t="str">
        <f>'Balance Sheet'!B3:M3</f>
        <v>The Chubb Corporation (CB)</v>
      </c>
      <c r="C2" s="1266"/>
      <c r="D2" s="1266"/>
      <c r="E2" s="1266"/>
      <c r="F2" s="1266"/>
      <c r="G2" s="1266"/>
      <c r="H2" s="1266"/>
      <c r="I2" s="1266"/>
      <c r="J2" s="1266"/>
      <c r="K2" s="1266"/>
      <c r="L2" s="1266"/>
      <c r="M2" s="1266"/>
      <c r="N2" s="1267"/>
    </row>
    <row r="3" spans="2:16" ht="22.5" customHeight="1">
      <c r="B3" s="1280" t="s">
        <v>996</v>
      </c>
      <c r="C3" s="1281"/>
      <c r="D3" s="1281"/>
      <c r="E3" s="1281"/>
      <c r="F3" s="1281"/>
      <c r="G3" s="1281"/>
      <c r="H3" s="1281"/>
      <c r="I3" s="1281"/>
      <c r="J3" s="1281"/>
      <c r="K3" s="1281"/>
      <c r="L3" s="1281"/>
      <c r="M3" s="1281"/>
      <c r="N3" s="1282"/>
      <c r="O3" s="1321" t="s">
        <v>995</v>
      </c>
      <c r="P3" s="1322"/>
    </row>
    <row r="4" spans="2:16" ht="16" thickBot="1">
      <c r="B4" s="1065"/>
      <c r="C4" s="1079"/>
      <c r="D4" s="952"/>
      <c r="E4" s="952"/>
      <c r="F4" s="952"/>
      <c r="G4" s="952"/>
      <c r="H4" s="952"/>
      <c r="I4" s="952"/>
      <c r="J4" s="952"/>
      <c r="K4" s="952"/>
      <c r="L4" s="952"/>
      <c r="M4" s="952"/>
      <c r="N4" s="1034"/>
      <c r="O4" s="1065"/>
      <c r="P4" s="1034"/>
    </row>
    <row r="5" spans="2:16" ht="16" thickBot="1">
      <c r="B5" s="1102"/>
      <c r="C5" s="1128"/>
      <c r="D5" s="1095">
        <f>'Balance Sheet'!C7</f>
        <v>2001</v>
      </c>
      <c r="E5" s="1095">
        <f>'Balance Sheet'!D7</f>
        <v>2002</v>
      </c>
      <c r="F5" s="1095">
        <f>'Balance Sheet'!E7</f>
        <v>2003</v>
      </c>
      <c r="G5" s="1095">
        <f>'Balance Sheet'!F7</f>
        <v>2004</v>
      </c>
      <c r="H5" s="1095">
        <f>'Balance Sheet'!G7</f>
        <v>2005</v>
      </c>
      <c r="I5" s="1095">
        <f>'Balance Sheet'!H7</f>
        <v>2006</v>
      </c>
      <c r="J5" s="1095">
        <f>'Balance Sheet'!I7</f>
        <v>2007</v>
      </c>
      <c r="K5" s="1095">
        <f>'Balance Sheet'!J7</f>
        <v>2008</v>
      </c>
      <c r="L5" s="1095">
        <f>'Balance Sheet'!K7</f>
        <v>2009</v>
      </c>
      <c r="M5" s="1095">
        <f>'Balance Sheet'!L7</f>
        <v>2010</v>
      </c>
      <c r="N5" s="1034"/>
      <c r="O5" s="1065"/>
      <c r="P5" s="1034"/>
    </row>
    <row r="6" spans="2:16" ht="24" customHeight="1">
      <c r="B6" s="1102"/>
      <c r="C6" s="1093" t="s">
        <v>85</v>
      </c>
      <c r="D6" s="1127"/>
      <c r="E6" s="1127"/>
      <c r="F6" s="1127"/>
      <c r="G6" s="1127"/>
      <c r="H6" s="1127"/>
      <c r="I6" s="1127"/>
      <c r="J6" s="1127"/>
      <c r="K6" s="1127"/>
      <c r="L6" s="1127"/>
      <c r="M6" s="1126"/>
      <c r="N6" s="1034"/>
      <c r="O6" s="1065"/>
      <c r="P6" s="1034"/>
    </row>
    <row r="7" spans="2:16" ht="17.25" customHeight="1">
      <c r="B7" s="1102"/>
      <c r="C7" s="1118" t="s">
        <v>994</v>
      </c>
      <c r="D7" s="1117">
        <f>(Capital!C14+Capital!C8)/(Capital!C18+Capital!C30)</f>
        <v>0.18573938357275629</v>
      </c>
      <c r="E7" s="1117">
        <f>(Capital!D14+Capital!D8)/(Capital!D18+Capital!D30)</f>
        <v>0.22164286194314539</v>
      </c>
      <c r="F7" s="1117">
        <f>(Capital!E14+Capital!E8)/(Capital!E18+Capital!E30)</f>
        <v>0.23467420544908918</v>
      </c>
      <c r="G7" s="1117">
        <f>(Capital!F14+Capital!F8)/(Capital!F18+Capital!F30)</f>
        <v>0.22324889368522552</v>
      </c>
      <c r="H7" s="1117">
        <f>(Capital!G14+Capital!G8)/(Capital!G18+Capital!G30)</f>
        <v>0.17122978087409296</v>
      </c>
      <c r="I7" s="1117">
        <f>(Capital!H14+Capital!H8)/(Capital!H18+Capital!H30)</f>
        <v>0.18027571580063625</v>
      </c>
      <c r="J7" s="1117">
        <f>(Capital!I14+Capital!I8)/(Capital!I18+Capital!I30)</f>
        <v>0.16777373044782515</v>
      </c>
      <c r="K7" s="1117">
        <f>(Capital!J14+Capital!J8)/(Capital!J18+Capital!J30)</f>
        <v>0.19360453871446071</v>
      </c>
      <c r="L7" s="1117">
        <f>(Capital!K14+Capital!K8)/(Capital!K18+Capital!K30)</f>
        <v>0.17088197146562906</v>
      </c>
      <c r="M7" s="1116">
        <f>(Capital!L14+Capital!L8)/(Capital!L18+Capital!L30)</f>
        <v>0.17846123220861948</v>
      </c>
      <c r="N7" s="1034"/>
      <c r="O7" s="1065"/>
      <c r="P7" s="1034"/>
    </row>
    <row r="8" spans="2:16" ht="14.25" customHeight="1" thickBot="1">
      <c r="B8" s="1102"/>
      <c r="C8" s="1101" t="s">
        <v>993</v>
      </c>
      <c r="D8" s="1104">
        <f>(Capital!C14+Capital!C8-Capital!C10)/(Capital!C18+Capital!C30)</f>
        <v>0.14138703083063314</v>
      </c>
      <c r="E8" s="1104">
        <f>(Capital!D14+Capital!D8-Capital!D10)/(Capital!D18+Capital!D30)</f>
        <v>0.15219737429880495</v>
      </c>
      <c r="F8" s="1104">
        <f>(Capital!E14+Capital!E8-Capital!E10)/(Capital!E18+Capital!E30)</f>
        <v>0.1349173163809404</v>
      </c>
      <c r="G8" s="1104">
        <f>(Capital!F14+Capital!F8-Capital!F10)/(Capital!F18+Capital!F30)</f>
        <v>0.18150267239672802</v>
      </c>
      <c r="H8" s="1104">
        <f>(Capital!G14+Capital!G8-Capital!G10)/(Capital!G18+Capital!G30)</f>
        <v>0.11402261167225125</v>
      </c>
      <c r="I8" s="1104">
        <f>(Capital!H14+Capital!H8-Capital!H10)/(Capital!H18+Capital!H30)</f>
        <v>0.1138800518439967</v>
      </c>
      <c r="J8" s="1104">
        <f>(Capital!I14+Capital!I8-Capital!I10)/(Capital!I18+Capital!I30)</f>
        <v>0.11148183293030089</v>
      </c>
      <c r="K8" s="1104">
        <f>(Capital!J14+Capital!J8-Capital!J10)/(Capital!J18+Capital!J30)</f>
        <v>0.11372574302108181</v>
      </c>
      <c r="L8" s="1104">
        <f>(Capital!K14+Capital!K8-Capital!K10)/(Capital!K18+Capital!K30)</f>
        <v>0.10869001297016861</v>
      </c>
      <c r="M8" s="1103">
        <f>(Capital!L14+Capital!L8-Capital!L10)/(Capital!L18+Capital!L30)</f>
        <v>0.11058027271822435</v>
      </c>
      <c r="N8" s="1034"/>
      <c r="O8" s="1065"/>
      <c r="P8" s="1034"/>
    </row>
    <row r="9" spans="2:16" ht="24.75" customHeight="1" thickBot="1">
      <c r="B9" s="1102"/>
      <c r="C9" s="1093" t="s">
        <v>95</v>
      </c>
      <c r="D9" s="1088"/>
      <c r="E9" s="1088"/>
      <c r="F9" s="1088"/>
      <c r="G9" s="1088"/>
      <c r="H9" s="1088"/>
      <c r="I9" s="1088"/>
      <c r="J9" s="1088"/>
      <c r="K9" s="1088"/>
      <c r="L9" s="1088"/>
      <c r="M9" s="1087"/>
      <c r="N9" s="1034"/>
      <c r="O9" s="1107" t="s">
        <v>992</v>
      </c>
      <c r="P9" s="1106" t="s">
        <v>976</v>
      </c>
    </row>
    <row r="10" spans="2:16" ht="17.25" customHeight="1">
      <c r="B10" s="1102"/>
      <c r="C10" s="1118" t="s">
        <v>991</v>
      </c>
      <c r="D10" s="1117">
        <f>365*(Capital!C12/'Income Statement'!C8)</f>
        <v>80.881767724369041</v>
      </c>
      <c r="E10" s="1117">
        <f>365*(Capital!D12/'Income Statement'!D8)</f>
        <v>82.005042608944564</v>
      </c>
      <c r="F10" s="1117">
        <f>365*(Capital!E12/'Income Statement'!E8)</f>
        <v>70.614345334936701</v>
      </c>
      <c r="G10" s="1117">
        <f>365*(Capital!F12/'Income Statement'!F8)</f>
        <v>65.806466548344787</v>
      </c>
      <c r="H10" s="1117">
        <f>365*(Capital!G12/'Income Statement'!G8)</f>
        <v>61.794317750459882</v>
      </c>
      <c r="I10" s="1117">
        <f>365*(Capital!H12/'Income Statement'!H8)</f>
        <v>61.390463730193339</v>
      </c>
      <c r="J10" s="1117">
        <f>365*(Capital!I12/'Income Statement'!I8)</f>
        <v>59.189907522027234</v>
      </c>
      <c r="K10" s="1117">
        <f>365*(Capital!J12/'Income Statement'!J8)</f>
        <v>59.105723955267806</v>
      </c>
      <c r="L10" s="1117">
        <f>365*(Capital!K12/'Income Statement'!K8)</f>
        <v>59.021396136381128</v>
      </c>
      <c r="M10" s="1116">
        <f>365*(Capital!L12/'Income Statement'!L8)</f>
        <v>53.721294363256781</v>
      </c>
      <c r="N10" s="1034"/>
      <c r="O10" s="1111" t="s">
        <v>990</v>
      </c>
      <c r="P10" s="1110">
        <v>0.24</v>
      </c>
    </row>
    <row r="11" spans="2:16" ht="14.25" customHeight="1">
      <c r="B11" s="1102"/>
      <c r="C11" s="1105" t="s">
        <v>989</v>
      </c>
      <c r="D11" s="1125" t="s">
        <v>951</v>
      </c>
      <c r="E11" s="1125" t="s">
        <v>951</v>
      </c>
      <c r="F11" s="1125" t="s">
        <v>951</v>
      </c>
      <c r="G11" s="1125" t="s">
        <v>951</v>
      </c>
      <c r="H11" s="1125" t="s">
        <v>951</v>
      </c>
      <c r="I11" s="1125" t="s">
        <v>951</v>
      </c>
      <c r="J11" s="1125" t="s">
        <v>951</v>
      </c>
      <c r="K11" s="1125" t="s">
        <v>951</v>
      </c>
      <c r="L11" s="1125" t="s">
        <v>951</v>
      </c>
      <c r="M11" s="1124" t="s">
        <v>951</v>
      </c>
      <c r="N11" s="1034"/>
      <c r="O11" s="1111" t="s">
        <v>988</v>
      </c>
      <c r="P11" s="1110">
        <v>91.19</v>
      </c>
    </row>
    <row r="12" spans="2:16" ht="14.25" customHeight="1">
      <c r="B12" s="1102"/>
      <c r="C12" s="1105" t="s">
        <v>987</v>
      </c>
      <c r="D12" s="1125" t="s">
        <v>951</v>
      </c>
      <c r="E12" s="1125" t="s">
        <v>951</v>
      </c>
      <c r="F12" s="1125" t="s">
        <v>951</v>
      </c>
      <c r="G12" s="1125" t="s">
        <v>951</v>
      </c>
      <c r="H12" s="1125" t="s">
        <v>951</v>
      </c>
      <c r="I12" s="1125" t="s">
        <v>951</v>
      </c>
      <c r="J12" s="1125" t="s">
        <v>951</v>
      </c>
      <c r="K12" s="1125" t="s">
        <v>951</v>
      </c>
      <c r="L12" s="1125" t="s">
        <v>951</v>
      </c>
      <c r="M12" s="1124" t="s">
        <v>951</v>
      </c>
      <c r="N12" s="1034"/>
      <c r="O12" s="1123"/>
      <c r="P12" s="1122"/>
    </row>
    <row r="13" spans="2:16" ht="14.25" customHeight="1">
      <c r="B13" s="1102"/>
      <c r="C13" s="1105" t="s">
        <v>986</v>
      </c>
      <c r="D13" s="1088">
        <f>'Income Statement'!C8/Capital!C26</f>
        <v>0.30025823340054475</v>
      </c>
      <c r="E13" s="1088">
        <f>'Income Statement'!D8/Capital!D26</f>
        <v>0.31897647695106446</v>
      </c>
      <c r="F13" s="1088">
        <f>'Income Statement'!E8/Capital!E26</f>
        <v>0.35321969105457451</v>
      </c>
      <c r="G13" s="1088">
        <f>'Income Statement'!F8/Capital!F26</f>
        <v>0.34772365642466346</v>
      </c>
      <c r="H13" s="1088">
        <f>'Income Statement'!G8/Capital!G26</f>
        <v>0.32325110552123504</v>
      </c>
      <c r="I13" s="1088">
        <f>'Income Statement'!H8/Capital!H26</f>
        <v>0.31157007948909571</v>
      </c>
      <c r="J13" s="1088">
        <f>'Income Statement'!I8/Capital!I26</f>
        <v>0.30454837779699734</v>
      </c>
      <c r="K13" s="1088">
        <f>'Income Statement'!J8/Capital!J26</f>
        <v>0.32039224005845884</v>
      </c>
      <c r="L13" s="1088">
        <f>'Income Statement'!K8/Capital!K26</f>
        <v>0.28758936674118507</v>
      </c>
      <c r="M13" s="1087">
        <f>'Income Statement'!L8/Capital!L26</f>
        <v>0.29894793152639088</v>
      </c>
      <c r="N13" s="1034"/>
      <c r="O13" s="1065"/>
      <c r="P13" s="1034"/>
    </row>
    <row r="14" spans="2:16" ht="14.25" customHeight="1">
      <c r="B14" s="1102"/>
      <c r="C14" s="1105" t="s">
        <v>985</v>
      </c>
      <c r="D14" s="1121">
        <f>'Income Statement'!C8/Capital!C28</f>
        <v>0.94599581439698843</v>
      </c>
      <c r="E14" s="1121">
        <f>'Income Statement'!D8/Capital!D28</f>
        <v>1.033899462708314</v>
      </c>
      <c r="F14" s="1121">
        <f>'Income Statement'!E8/Capital!E28</f>
        <v>0.99767993719069481</v>
      </c>
      <c r="G14" s="1121">
        <f>'Income Statement'!F8/Capital!F28</f>
        <v>1.0014605760388251</v>
      </c>
      <c r="H14" s="1121">
        <f>'Income Statement'!G8/Capital!G28</f>
        <v>0.92097107090753882</v>
      </c>
      <c r="I14" s="1121">
        <f>'Income Statement'!H8/Capital!H28</f>
        <v>0.84255006430277424</v>
      </c>
      <c r="J14" s="1121">
        <f>'Income Statement'!I8/Capital!I28</f>
        <v>0.76699246020664624</v>
      </c>
      <c r="K14" s="1121">
        <f>'Income Statement'!J8/Capital!J28</f>
        <v>0.78083529614522895</v>
      </c>
      <c r="L14" s="1121">
        <f>'Income Statement'!K8/Capital!K28</f>
        <v>0.66260390636952415</v>
      </c>
      <c r="M14" s="1087">
        <f>'Income Statement'!L8/Capital!L28</f>
        <v>0.6962570731454083</v>
      </c>
      <c r="N14" s="1034"/>
      <c r="O14" s="1065"/>
      <c r="P14" s="1034"/>
    </row>
    <row r="15" spans="2:16" ht="26.25" customHeight="1" thickBot="1">
      <c r="B15" s="1102"/>
      <c r="C15" s="1120" t="s">
        <v>984</v>
      </c>
      <c r="D15" s="1119">
        <f>'Income Statement'!C8/(Capital!C28-'Actual BS'!C52)</f>
        <v>1.0041141445076829</v>
      </c>
      <c r="E15" s="1119">
        <f>'Income Statement'!D8/(Capital!D28-'Actual BS'!D52)</f>
        <v>1.0919999038160959</v>
      </c>
      <c r="F15" s="1119">
        <f>'Income Statement'!E8/(Capital!E28-'Actual BS'!E52)</f>
        <v>1.0405851773473798</v>
      </c>
      <c r="G15" s="1119">
        <f>'Income Statement'!F8/(Capital!F28-'Actual BS'!F52)</f>
        <v>1.0389891523086421</v>
      </c>
      <c r="H15" s="1119">
        <f>'Income Statement'!G8/(Capital!G28-'Actual BS'!G52)</f>
        <v>0.95084993995932543</v>
      </c>
      <c r="I15" s="1119">
        <f>'Income Statement'!H8/(Capital!H28-'Actual BS'!H52)</f>
        <v>0.8673559450258479</v>
      </c>
      <c r="J15" s="1119">
        <f>'Income Statement'!I8/(Capital!I28-'Actual BS'!I52)</f>
        <v>0.78753297396490418</v>
      </c>
      <c r="K15" s="1119">
        <f>'Income Statement'!J8/(Capital!J28-'Actual BS'!J52)</f>
        <v>0.80236127508854782</v>
      </c>
      <c r="L15" s="1119">
        <f>'Income Statement'!K8/(Capital!K28-'Actual BS'!K52)</f>
        <v>0.67876919862083374</v>
      </c>
      <c r="M15" s="1103">
        <f>'Income Statement'!L8/(Capital!L28-'Actual BS'!L52)</f>
        <v>0.71355607576080016</v>
      </c>
      <c r="N15" s="1034"/>
      <c r="O15" s="1065"/>
      <c r="P15" s="1034"/>
    </row>
    <row r="16" spans="2:16" ht="24.75" customHeight="1" thickBot="1">
      <c r="B16" s="1102"/>
      <c r="C16" s="1093" t="s">
        <v>983</v>
      </c>
      <c r="D16" s="1088"/>
      <c r="E16" s="1088"/>
      <c r="F16" s="1088"/>
      <c r="G16" s="1088"/>
      <c r="H16" s="1088"/>
      <c r="I16" s="1088"/>
      <c r="J16" s="1088"/>
      <c r="K16" s="1088"/>
      <c r="L16" s="1088"/>
      <c r="M16" s="1087"/>
      <c r="N16" s="1034"/>
      <c r="O16" s="1107" t="s">
        <v>982</v>
      </c>
      <c r="P16" s="1106" t="s">
        <v>976</v>
      </c>
    </row>
    <row r="17" spans="2:16" ht="17.25" customHeight="1">
      <c r="B17" s="1102"/>
      <c r="C17" s="1118" t="s">
        <v>981</v>
      </c>
      <c r="D17" s="1117">
        <f>('Balance Sheet'!C30+'Balance Sheet'!C26)/'Balance Sheet'!C34</f>
        <v>0.77842031987503824</v>
      </c>
      <c r="E17" s="1117">
        <f>('Balance Sheet'!D30+'Balance Sheet'!D26)/'Balance Sheet'!D34</f>
        <v>0.79972066465380898</v>
      </c>
      <c r="F17" s="1117">
        <f>('Balance Sheet'!E30+'Balance Sheet'!E26)/'Balance Sheet'!E34</f>
        <v>0.77784497635594851</v>
      </c>
      <c r="G17" s="1117">
        <f>('Balance Sheet'!F30+'Balance Sheet'!F26)/'Balance Sheet'!F34</f>
        <v>0.77120805778541945</v>
      </c>
      <c r="H17" s="1117">
        <f>('Balance Sheet'!G30+'Balance Sheet'!G26)/'Balance Sheet'!G34</f>
        <v>0.74184728894918306</v>
      </c>
      <c r="I17" s="1117">
        <f>('Balance Sheet'!H30+'Balance Sheet'!H26)/'Balance Sheet'!H34</f>
        <v>0.72426755773017482</v>
      </c>
      <c r="J17" s="1117">
        <f>('Balance Sheet'!I30+'Balance Sheet'!I26)/'Balance Sheet'!I34</f>
        <v>0.71437892988492113</v>
      </c>
      <c r="K17" s="1117">
        <f>('Balance Sheet'!J30+'Balance Sheet'!J26)/'Balance Sheet'!J34</f>
        <v>0.72264552231101198</v>
      </c>
      <c r="L17" s="1117">
        <f>('Balance Sheet'!K30+'Balance Sheet'!K26)/'Balance Sheet'!K34</f>
        <v>0.69010287617197563</v>
      </c>
      <c r="M17" s="1116">
        <f>('Balance Sheet'!L30+'Balance Sheet'!L26)/'Balance Sheet'!L34</f>
        <v>0.68196564695579487</v>
      </c>
      <c r="N17" s="1034"/>
      <c r="O17" s="1111" t="s">
        <v>980</v>
      </c>
      <c r="P17" s="1110">
        <v>0.23</v>
      </c>
    </row>
    <row r="18" spans="2:16" ht="14.25" customHeight="1">
      <c r="B18" s="1102"/>
      <c r="C18" s="1105" t="s">
        <v>979</v>
      </c>
      <c r="D18" s="1088">
        <f>(Capital!C28)/Capital!C38</f>
        <v>1.2375369714802382</v>
      </c>
      <c r="E18" s="1088">
        <f>(Capital!D28)/Capital!D38</f>
        <v>1.2870181812854364</v>
      </c>
      <c r="F18" s="1088">
        <f>(Capital!E28)/Capital!E38</f>
        <v>1.3301924430884771</v>
      </c>
      <c r="G18" s="1088">
        <f>(Capital!F28)/Capital!F38</f>
        <v>1.2778578764417758</v>
      </c>
      <c r="H18" s="1088">
        <f>(Capital!G28)/Capital!G38</f>
        <v>1.1988635447731115</v>
      </c>
      <c r="I18" s="1088">
        <f>(Capital!H28)/Capital!H38</f>
        <v>1.1778835749837697</v>
      </c>
      <c r="J18" s="1088">
        <f>(Capital!I28)/Capital!I38</f>
        <v>1.2395292488750433</v>
      </c>
      <c r="K18" s="1088">
        <f>(Capital!J28)/Capital!J38</f>
        <v>1.2959350804050029</v>
      </c>
      <c r="L18" s="1088">
        <f>(Capital!K28)/Capital!K38</f>
        <v>1.2542535499552259</v>
      </c>
      <c r="M18" s="1087">
        <f>(Capital!L28)/Capital!L38</f>
        <v>1.2055197446648727</v>
      </c>
      <c r="N18" s="947"/>
      <c r="O18" s="1065"/>
      <c r="P18" s="1034"/>
    </row>
    <row r="19" spans="2:16" ht="14.25" customHeight="1">
      <c r="B19" s="1102"/>
      <c r="C19" s="1101" t="s">
        <v>978</v>
      </c>
      <c r="D19" s="1115" t="s">
        <v>951</v>
      </c>
      <c r="E19" s="1115" t="s">
        <v>951</v>
      </c>
      <c r="F19" s="1115" t="s">
        <v>951</v>
      </c>
      <c r="G19" s="1115" t="s">
        <v>951</v>
      </c>
      <c r="H19" s="1115" t="s">
        <v>951</v>
      </c>
      <c r="I19" s="1115" t="s">
        <v>951</v>
      </c>
      <c r="J19" s="1115" t="s">
        <v>951</v>
      </c>
      <c r="K19" s="1115" t="s">
        <v>951</v>
      </c>
      <c r="L19" s="1115" t="s">
        <v>951</v>
      </c>
      <c r="M19" s="1114" t="s">
        <v>951</v>
      </c>
      <c r="N19" s="947"/>
      <c r="O19" s="1065"/>
      <c r="P19" s="1034"/>
    </row>
    <row r="20" spans="2:16" ht="24.75" customHeight="1" thickBot="1">
      <c r="B20" s="1102"/>
      <c r="C20" s="1093" t="s">
        <v>977</v>
      </c>
      <c r="D20" s="1088"/>
      <c r="E20" s="1088"/>
      <c r="F20" s="1088"/>
      <c r="G20" s="1088"/>
      <c r="H20" s="1088"/>
      <c r="I20" s="1088"/>
      <c r="J20" s="1088"/>
      <c r="K20" s="1088"/>
      <c r="L20" s="1088"/>
      <c r="M20" s="1087"/>
      <c r="N20" s="1034"/>
      <c r="O20" s="1113" t="s">
        <v>11</v>
      </c>
      <c r="P20" s="1112" t="s">
        <v>976</v>
      </c>
    </row>
    <row r="21" spans="2:16" ht="17.25" customHeight="1">
      <c r="B21" s="1102"/>
      <c r="C21" s="1105" t="s">
        <v>975</v>
      </c>
      <c r="D21" s="1088">
        <f>100*'Income Statement'!C14/(Capital!C40)</f>
        <v>-2.2389261080083633</v>
      </c>
      <c r="E21" s="1088">
        <f>100*'Income Statement'!D14/(Capital!D40)</f>
        <v>1.2601311355978488</v>
      </c>
      <c r="F21" s="1088">
        <f>100*'Income Statement'!E14/(Capital!E40)</f>
        <v>7.4912446298926341</v>
      </c>
      <c r="G21" s="1088">
        <f>100*'Income Statement'!F14/(Capital!F40)</f>
        <v>14.296643766276919</v>
      </c>
      <c r="H21" s="1088">
        <f>100*'Income Statement'!G14/(Capital!G40)</f>
        <v>13.87292175093955</v>
      </c>
      <c r="I21" s="1088">
        <f>100*'Income Statement'!H14/(Capital!H40)</f>
        <v>20.086961847020639</v>
      </c>
      <c r="J21" s="1088">
        <f>100*'Income Statement'!I14/(Capital!I40)</f>
        <v>19.899469421949178</v>
      </c>
      <c r="K21" s="1088">
        <f>100*'Income Statement'!J14/(Capital!J40)</f>
        <v>15.959096915034182</v>
      </c>
      <c r="L21" s="1088">
        <f>100*'Income Statement'!K14/(Capital!K40)</f>
        <v>14.988015707073282</v>
      </c>
      <c r="M21" s="1087">
        <f>100*'Income Statement'!L14/(Capital!L40)</f>
        <v>13.741369464777033</v>
      </c>
      <c r="N21" s="1034"/>
      <c r="O21" s="1111" t="s">
        <v>974</v>
      </c>
      <c r="P21" s="1110">
        <v>3.71</v>
      </c>
    </row>
    <row r="22" spans="2:16" ht="14.25" customHeight="1">
      <c r="B22" s="1102"/>
      <c r="C22" s="1105" t="s">
        <v>959</v>
      </c>
      <c r="D22" s="1088">
        <f>100*'Income Statement'!C19/Capital!C40</f>
        <v>1.3807536562109224</v>
      </c>
      <c r="E22" s="1088">
        <f>100*'Income Statement'!D19/Capital!D40</f>
        <v>2.5373372188325272</v>
      </c>
      <c r="F22" s="1088">
        <f>100*'Income Statement'!E19/Capital!E40</f>
        <v>7.1348547534822924</v>
      </c>
      <c r="G22" s="1088">
        <f>100*'Income Statement'!F19/Capital!F40</f>
        <v>11.965904436596313</v>
      </c>
      <c r="H22" s="1088">
        <f>100*'Income Statement'!G19/Capital!G40</f>
        <v>12.275535655459427</v>
      </c>
      <c r="I22" s="1088">
        <f>100*'Income Statement'!H19/Capital!H40</f>
        <v>15.481658399167125</v>
      </c>
      <c r="J22" s="1088">
        <f>100*'Income Statement'!I19/Capital!I40</f>
        <v>15.677185143814578</v>
      </c>
      <c r="K22" s="1088">
        <f>100*'Income Statement'!J19/Capital!J40</f>
        <v>10.363646808755098</v>
      </c>
      <c r="L22" s="1088">
        <f>100*'Income Statement'!K19/Capital!K40</f>
        <v>11.132643174052731</v>
      </c>
      <c r="M22" s="1087">
        <f>100*'Income Statement'!L19/Capital!L40</f>
        <v>11.280693557597466</v>
      </c>
      <c r="N22" s="1034"/>
      <c r="O22" s="1111" t="s">
        <v>973</v>
      </c>
      <c r="P22" s="1110">
        <v>12.5</v>
      </c>
    </row>
    <row r="23" spans="2:16" ht="14.25" customHeight="1">
      <c r="B23" s="1102"/>
      <c r="C23" s="1105" t="s">
        <v>961</v>
      </c>
      <c r="D23" s="1088">
        <f>100*'Income Statement'!C19/Capital!C38</f>
        <v>1.7087336980675312</v>
      </c>
      <c r="E23" s="1088">
        <f>100*'Income Statement'!D19/Capital!D38</f>
        <v>3.2655991326896849</v>
      </c>
      <c r="F23" s="1088">
        <f>100*'Income Statement'!E19/Capital!E38</f>
        <v>9.4907298756160419</v>
      </c>
      <c r="G23" s="1088">
        <f>100*'Income Statement'!F19/Capital!F38</f>
        <v>15.290725233054189</v>
      </c>
      <c r="H23" s="1088">
        <f>100*'Income Statement'!G19/Capital!G38</f>
        <v>14.716692189892814</v>
      </c>
      <c r="I23" s="1088">
        <f>100*'Income Statement'!H19/Capital!H38</f>
        <v>18.235591141888481</v>
      </c>
      <c r="J23" s="1088">
        <f>100*'Income Statement'!I19/Capital!I38</f>
        <v>19.43232952578747</v>
      </c>
      <c r="K23" s="1088">
        <f>100*'Income Statement'!J19/Capital!J38</f>
        <v>13.430613460393092</v>
      </c>
      <c r="L23" s="1088">
        <f>100*'Income Statement'!K19/Capital!K38</f>
        <v>13.963157221440451</v>
      </c>
      <c r="M23" s="1087">
        <f>100*'Income Statement'!L19/Capital!L38</f>
        <v>13.599098817197572</v>
      </c>
      <c r="N23" s="1034"/>
      <c r="O23" s="1109" t="s">
        <v>972</v>
      </c>
      <c r="P23" s="1108">
        <v>59.26</v>
      </c>
    </row>
    <row r="24" spans="2:16" ht="14.25" customHeight="1">
      <c r="B24" s="1102"/>
      <c r="C24" s="1105" t="s">
        <v>958</v>
      </c>
      <c r="D24" s="1088">
        <f>100*'Income Statement'!C19/'Income Statement'!C8</f>
        <v>1.4595769190491232</v>
      </c>
      <c r="E24" s="1088">
        <f>100*'Income Statement'!D19/'Income Statement'!D8</f>
        <v>2.4541430867813161</v>
      </c>
      <c r="F24" s="1088">
        <f>100*'Income Statement'!E19/'Income Statement'!E8</f>
        <v>7.1514465586758087</v>
      </c>
      <c r="G24" s="1088">
        <f>100*'Income Statement'!F19/'Income Statement'!F8</f>
        <v>11.948452812717026</v>
      </c>
      <c r="H24" s="1088">
        <f>100*'Income Statement'!G19/'Income Statement'!G8</f>
        <v>13.328904721581463</v>
      </c>
      <c r="I24" s="1088">
        <f>100*'Income Statement'!H19/'Income Statement'!H8</f>
        <v>18.374763773804332</v>
      </c>
      <c r="J24" s="1088">
        <f>100*'Income Statement'!I19/'Income Statement'!I8</f>
        <v>20.439816500400497</v>
      </c>
      <c r="K24" s="1088">
        <f>100*'Income Statement'!J19/'Income Statement'!J8</f>
        <v>13.272513243084168</v>
      </c>
      <c r="L24" s="1088">
        <f>100*'Income Statement'!K19/'Income Statement'!K8</f>
        <v>16.801354575540675</v>
      </c>
      <c r="M24" s="1087">
        <f>100*'Income Statement'!L19/'Income Statement'!L8</f>
        <v>16.201908738443183</v>
      </c>
      <c r="N24" s="1034"/>
      <c r="O24" s="1065"/>
      <c r="P24" s="1034"/>
    </row>
    <row r="25" spans="2:16" ht="14.25" customHeight="1" thickBot="1">
      <c r="B25" s="1102"/>
      <c r="C25" s="1101" t="s">
        <v>971</v>
      </c>
      <c r="D25" s="1104">
        <f>100*'Income Statement'!C10/'Income Statement'!C8</f>
        <v>6.681327887736944</v>
      </c>
      <c r="E25" s="1104">
        <f>100*'Income Statement'!D10/'Income Statement'!D8</f>
        <v>10.351661418536541</v>
      </c>
      <c r="F25" s="1104">
        <f>100*'Income Statement'!E10/'Income Statement'!E8</f>
        <v>16.860012732545798</v>
      </c>
      <c r="G25" s="1104">
        <f>100*'Income Statement'!F10/'Income Statement'!F8</f>
        <v>21.566478894976459</v>
      </c>
      <c r="H25" s="1104">
        <f>100*'Income Statement'!G10/'Income Statement'!G8</f>
        <v>21.570502525768688</v>
      </c>
      <c r="I25" s="1104">
        <f>100*'Income Statement'!H10/'Income Statement'!H8</f>
        <v>31.000145369966564</v>
      </c>
      <c r="J25" s="1104">
        <f>100*'Income Statement'!I10/'Income Statement'!I8</f>
        <v>31.617272263889902</v>
      </c>
      <c r="K25" s="1104">
        <f>100*'Income Statement'!J10/'Income Statement'!J8</f>
        <v>26.272807533843437</v>
      </c>
      <c r="L25" s="1104">
        <f>100*'Income Statement'!K10/'Income Statement'!K8</f>
        <v>28.507657969675979</v>
      </c>
      <c r="M25" s="1103">
        <f>100*'Income Statement'!L10/'Income Statement'!L8</f>
        <v>25.477184610796304</v>
      </c>
      <c r="N25" s="1102"/>
      <c r="O25" s="1065"/>
      <c r="P25" s="1034"/>
    </row>
    <row r="26" spans="2:16" ht="24.75" customHeight="1" thickBot="1">
      <c r="B26" s="1102"/>
      <c r="C26" s="1093"/>
      <c r="D26" s="1088"/>
      <c r="E26" s="1088"/>
      <c r="F26" s="1088"/>
      <c r="G26" s="1088"/>
      <c r="H26" s="1088"/>
      <c r="I26" s="1088"/>
      <c r="J26" s="1088"/>
      <c r="K26" s="1088"/>
      <c r="L26" s="1088"/>
      <c r="M26" s="1087"/>
      <c r="N26" s="1034"/>
      <c r="O26" s="1107" t="s">
        <v>970</v>
      </c>
      <c r="P26" s="1106" t="s">
        <v>969</v>
      </c>
    </row>
    <row r="27" spans="2:16" ht="17.25" customHeight="1">
      <c r="B27" s="1102"/>
      <c r="C27" s="1105" t="s">
        <v>968</v>
      </c>
      <c r="D27" s="1088">
        <f>'Actual IS'!C70</f>
        <v>80.8</v>
      </c>
      <c r="E27" s="1088">
        <f>'Actual IS'!D70</f>
        <v>75.400000000000006</v>
      </c>
      <c r="F27" s="1088">
        <f>'Actual IS'!E70</f>
        <v>67.599999999999994</v>
      </c>
      <c r="G27" s="1088">
        <f>'Actual IS'!F70</f>
        <v>63.1</v>
      </c>
      <c r="H27" s="1088">
        <f>'Actual IS'!G70</f>
        <v>64.3</v>
      </c>
      <c r="I27" s="1088">
        <f>'Actual IS'!H70</f>
        <v>55.2</v>
      </c>
      <c r="J27" s="1088">
        <f>'Actual IS'!I70</f>
        <v>52.8</v>
      </c>
      <c r="K27" s="1088">
        <f>'Actual IS'!J70</f>
        <v>58.5</v>
      </c>
      <c r="L27" s="1088">
        <f>'Actual IS'!K70</f>
        <v>55.4</v>
      </c>
      <c r="M27" s="1087">
        <f>100*'Actual IS'!L31/'Actual IS'!L17</f>
        <v>57.949175211769948</v>
      </c>
      <c r="N27" s="1034"/>
      <c r="O27" s="1105"/>
      <c r="P27" s="1034"/>
    </row>
    <row r="28" spans="2:16" ht="14.25" customHeight="1">
      <c r="B28" s="1102"/>
      <c r="C28" s="1105" t="s">
        <v>967</v>
      </c>
      <c r="D28" s="1088">
        <f>'Actual IS'!C71</f>
        <v>32.6</v>
      </c>
      <c r="E28" s="1088">
        <f>'Actual IS'!D71</f>
        <v>31.3</v>
      </c>
      <c r="F28" s="1088">
        <f>'Actual IS'!E71</f>
        <v>30.4</v>
      </c>
      <c r="G28" s="1088">
        <f>'Actual IS'!F71</f>
        <v>29.2</v>
      </c>
      <c r="H28" s="1088">
        <f>'Actual IS'!G71</f>
        <v>28</v>
      </c>
      <c r="I28" s="1088">
        <f>'Actual IS'!H71</f>
        <v>29</v>
      </c>
      <c r="J28" s="1088">
        <f>'Actual IS'!I71</f>
        <v>30.1</v>
      </c>
      <c r="K28" s="1088">
        <f>'Actual IS'!J71</f>
        <v>30.2</v>
      </c>
      <c r="L28" s="1088">
        <f>'Actual IS'!K71</f>
        <v>30.6</v>
      </c>
      <c r="M28" s="1087">
        <f>100*'Actual IS'!L32/'Actual IS'!L94</f>
        <v>31.236597569692638</v>
      </c>
      <c r="N28" s="1034"/>
      <c r="O28" s="1105"/>
      <c r="P28" s="1034"/>
    </row>
    <row r="29" spans="2:16" ht="14.25" customHeight="1" thickBot="1">
      <c r="B29" s="1102"/>
      <c r="C29" s="1101" t="s">
        <v>966</v>
      </c>
      <c r="D29" s="1104">
        <f t="shared" ref="D29:M29" si="0">SUM(D27:D28)</f>
        <v>113.4</v>
      </c>
      <c r="E29" s="1104">
        <f t="shared" si="0"/>
        <v>106.7</v>
      </c>
      <c r="F29" s="1104">
        <f t="shared" si="0"/>
        <v>98</v>
      </c>
      <c r="G29" s="1104">
        <f t="shared" si="0"/>
        <v>92.3</v>
      </c>
      <c r="H29" s="1104">
        <f t="shared" si="0"/>
        <v>92.3</v>
      </c>
      <c r="I29" s="1104">
        <f t="shared" si="0"/>
        <v>84.2</v>
      </c>
      <c r="J29" s="1104">
        <f t="shared" si="0"/>
        <v>82.9</v>
      </c>
      <c r="K29" s="1104">
        <f t="shared" si="0"/>
        <v>88.7</v>
      </c>
      <c r="L29" s="1104">
        <f t="shared" si="0"/>
        <v>86</v>
      </c>
      <c r="M29" s="1103">
        <f t="shared" si="0"/>
        <v>89.185772781462589</v>
      </c>
      <c r="N29" s="1102"/>
      <c r="O29" s="1101" t="s">
        <v>966</v>
      </c>
      <c r="P29" s="1011">
        <v>95</v>
      </c>
    </row>
    <row r="30" spans="2:16" ht="15.75" customHeight="1" thickBot="1">
      <c r="B30" s="1080"/>
      <c r="C30" s="1100"/>
      <c r="D30" s="1085"/>
      <c r="E30" s="1085"/>
      <c r="F30" s="1085"/>
      <c r="G30" s="1085"/>
      <c r="H30" s="1085"/>
      <c r="I30" s="1085"/>
      <c r="J30" s="1085"/>
      <c r="K30" s="1085"/>
      <c r="L30" s="1085"/>
      <c r="M30" s="1085"/>
      <c r="N30" s="1011"/>
      <c r="O30" s="914" t="s">
        <v>965</v>
      </c>
    </row>
    <row r="31" spans="2:16" ht="18">
      <c r="B31" s="1019"/>
      <c r="C31" s="1099" t="s">
        <v>964</v>
      </c>
      <c r="D31" s="1098"/>
      <c r="E31" s="1098"/>
      <c r="F31" s="1098"/>
      <c r="G31" s="1098"/>
      <c r="H31" s="1098"/>
      <c r="I31" s="1098"/>
      <c r="J31" s="1098"/>
      <c r="K31" s="1098"/>
      <c r="L31" s="1098"/>
      <c r="M31" s="1098"/>
      <c r="N31" s="1034"/>
    </row>
    <row r="32" spans="2:16">
      <c r="B32" s="1065"/>
      <c r="D32" s="947"/>
      <c r="E32" s="947"/>
      <c r="F32" s="947"/>
      <c r="G32" s="947"/>
      <c r="H32" s="947"/>
      <c r="I32" s="947"/>
      <c r="J32" s="947"/>
      <c r="K32" s="947"/>
      <c r="L32" s="947"/>
      <c r="M32" s="947"/>
      <c r="N32" s="1034"/>
    </row>
    <row r="33" spans="2:14">
      <c r="B33" s="1065"/>
      <c r="C33" s="914" t="s">
        <v>963</v>
      </c>
      <c r="D33" s="1319" t="s">
        <v>962</v>
      </c>
      <c r="E33" s="1320"/>
      <c r="F33" s="1320"/>
      <c r="G33" s="1320"/>
      <c r="H33" s="903">
        <v>135</v>
      </c>
      <c r="I33" s="903">
        <v>134</v>
      </c>
      <c r="J33" s="903">
        <v>206</v>
      </c>
      <c r="K33" s="903">
        <v>240</v>
      </c>
      <c r="L33" s="914">
        <v>248</v>
      </c>
      <c r="M33" s="947"/>
      <c r="N33" s="1034"/>
    </row>
    <row r="34" spans="2:14" ht="13.75" thickBot="1">
      <c r="B34" s="1080"/>
      <c r="C34" s="1012"/>
      <c r="D34" s="1012"/>
      <c r="E34" s="1012"/>
      <c r="F34" s="1012"/>
      <c r="G34" s="1012"/>
      <c r="H34" s="1012"/>
      <c r="I34" s="1012"/>
      <c r="J34" s="1012"/>
      <c r="K34" s="1012"/>
      <c r="L34" s="1012"/>
      <c r="M34" s="1012"/>
      <c r="N34" s="1011"/>
    </row>
  </sheetData>
  <customSheetViews>
    <customSheetView guid="{5A4827F7-D52D-44AD-B257-2AB13F875B96}" scale="85">
      <selection activeCell="D17" sqref="D17"/>
      <pageMargins left="0.25" right="0.25" top="1" bottom="1" header="0.5" footer="0.5"/>
      <printOptions horizontalCentered="1"/>
      <pageSetup scale="105" orientation="landscape" r:id="rId1"/>
      <headerFooter alignWithMargins="0"/>
    </customSheetView>
  </customSheetViews>
  <mergeCells count="4">
    <mergeCell ref="B2:N2"/>
    <mergeCell ref="B3:N3"/>
    <mergeCell ref="D33:G33"/>
    <mergeCell ref="O3:P3"/>
  </mergeCells>
  <printOptions horizontalCentered="1"/>
  <pageMargins left="0.25" right="0.25" top="1" bottom="1" header="0.5" footer="0.5"/>
  <pageSetup scale="105" orientation="landscape" r:id="rId2"/>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B17"/>
  <sheetViews>
    <sheetView workbookViewId="0">
      <selection activeCell="C34" activeCellId="1" sqref="A33 C34"/>
    </sheetView>
  </sheetViews>
  <sheetFormatPr defaultColWidth="9.1796875" defaultRowHeight="13"/>
  <cols>
    <col min="1" max="1" width="25" style="1129" bestFit="1" customWidth="1"/>
    <col min="2" max="16384" width="9.1796875" style="1129"/>
  </cols>
  <sheetData>
    <row r="1" spans="1:2" ht="14.25">
      <c r="A1" s="1321" t="s">
        <v>995</v>
      </c>
      <c r="B1" s="1323"/>
    </row>
    <row r="2" spans="1:2">
      <c r="A2" s="1131" t="s">
        <v>11</v>
      </c>
      <c r="B2" s="1131" t="s">
        <v>976</v>
      </c>
    </row>
    <row r="3" spans="1:2">
      <c r="A3" s="1130" t="s">
        <v>974</v>
      </c>
      <c r="B3" s="1130">
        <v>3.71</v>
      </c>
    </row>
    <row r="4" spans="1:2">
      <c r="A4" s="1130" t="s">
        <v>1001</v>
      </c>
      <c r="B4" s="1130">
        <v>14.88</v>
      </c>
    </row>
    <row r="5" spans="1:2">
      <c r="A5" s="1130" t="s">
        <v>972</v>
      </c>
      <c r="B5" s="1130">
        <v>59.26</v>
      </c>
    </row>
    <row r="6" spans="1:2">
      <c r="A6" s="1130" t="s">
        <v>1000</v>
      </c>
      <c r="B6" s="1130">
        <v>26.7</v>
      </c>
    </row>
    <row r="8" spans="1:2">
      <c r="A8" s="1131" t="s">
        <v>982</v>
      </c>
      <c r="B8" s="1131" t="s">
        <v>976</v>
      </c>
    </row>
    <row r="9" spans="1:2">
      <c r="A9" s="1130" t="s">
        <v>980</v>
      </c>
      <c r="B9" s="1130">
        <v>0.23</v>
      </c>
    </row>
    <row r="11" spans="1:2">
      <c r="A11" s="1131" t="s">
        <v>992</v>
      </c>
      <c r="B11" s="1131" t="s">
        <v>976</v>
      </c>
    </row>
    <row r="12" spans="1:2">
      <c r="A12" s="1130" t="s">
        <v>990</v>
      </c>
      <c r="B12" s="1130">
        <v>0.24</v>
      </c>
    </row>
    <row r="13" spans="1:2">
      <c r="A13" s="1130" t="s">
        <v>988</v>
      </c>
      <c r="B13" s="1130">
        <v>91.19</v>
      </c>
    </row>
    <row r="15" spans="1:2">
      <c r="A15" s="1131" t="s">
        <v>999</v>
      </c>
      <c r="B15" s="1131" t="s">
        <v>976</v>
      </c>
    </row>
    <row r="16" spans="1:2">
      <c r="A16" s="1130" t="s">
        <v>998</v>
      </c>
      <c r="B16" s="1130">
        <v>11.42</v>
      </c>
    </row>
    <row r="17" spans="1:2">
      <c r="A17" s="1130" t="s">
        <v>997</v>
      </c>
      <c r="B17" s="1130">
        <v>59.27</v>
      </c>
    </row>
  </sheetData>
  <customSheetViews>
    <customSheetView guid="{5A4827F7-D52D-44AD-B257-2AB13F875B96}">
      <selection activeCell="C34" activeCellId="1" sqref="A33 C34"/>
      <pageMargins left="0.7" right="0.7" top="0.75" bottom="0.75" header="0.3" footer="0.3"/>
    </customSheetView>
  </customSheetViews>
  <mergeCells count="1">
    <mergeCell ref="A1:B1"/>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L80"/>
  <sheetViews>
    <sheetView topLeftCell="A20" workbookViewId="0">
      <selection activeCell="A57" sqref="A57:K57"/>
    </sheetView>
  </sheetViews>
  <sheetFormatPr defaultColWidth="9.1796875" defaultRowHeight="14.75"/>
  <cols>
    <col min="1" max="1" width="70.5" style="653" bestFit="1" customWidth="1"/>
    <col min="2" max="2" width="21" style="653" customWidth="1"/>
    <col min="3" max="4" width="8.81640625" style="653" bestFit="1" customWidth="1"/>
    <col min="5" max="7" width="8.6796875" style="653" bestFit="1" customWidth="1"/>
    <col min="8" max="10" width="8.5" style="653" bestFit="1" customWidth="1"/>
    <col min="11" max="11" width="11.6796875" style="653" bestFit="1" customWidth="1"/>
    <col min="12" max="16384" width="9.1796875" style="653"/>
  </cols>
  <sheetData>
    <row r="1" spans="1:11">
      <c r="A1" s="653" t="s">
        <v>518</v>
      </c>
      <c r="B1" s="653" t="s">
        <v>517</v>
      </c>
      <c r="C1" s="653" t="e">
        <v>#NAME?</v>
      </c>
    </row>
    <row r="2" spans="1:11">
      <c r="A2" s="653" t="s">
        <v>516</v>
      </c>
      <c r="B2" s="653" t="s">
        <v>515</v>
      </c>
    </row>
    <row r="3" spans="1:11">
      <c r="A3" s="653" t="s">
        <v>514</v>
      </c>
      <c r="B3" s="653" t="s">
        <v>513</v>
      </c>
    </row>
    <row r="4" spans="1:11">
      <c r="A4" s="653" t="s">
        <v>512</v>
      </c>
      <c r="B4" s="677">
        <v>36526</v>
      </c>
    </row>
    <row r="5" spans="1:11">
      <c r="A5" s="653" t="s">
        <v>511</v>
      </c>
      <c r="B5" s="677">
        <v>40568</v>
      </c>
    </row>
    <row r="6" spans="1:11">
      <c r="A6" s="653" t="s">
        <v>510</v>
      </c>
      <c r="B6" s="653" t="s">
        <v>509</v>
      </c>
    </row>
    <row r="7" spans="1:11">
      <c r="A7" s="653" t="s">
        <v>508</v>
      </c>
      <c r="B7" s="653" t="s">
        <v>507</v>
      </c>
    </row>
    <row r="8" spans="1:11">
      <c r="A8" s="653" t="s">
        <v>506</v>
      </c>
      <c r="B8" s="653" t="s">
        <v>505</v>
      </c>
    </row>
    <row r="9" spans="1:11">
      <c r="A9" s="653" t="s">
        <v>504</v>
      </c>
      <c r="B9" s="653" t="s">
        <v>503</v>
      </c>
    </row>
    <row r="10" spans="1:11">
      <c r="A10" s="653" t="s">
        <v>502</v>
      </c>
      <c r="B10" s="653" t="s">
        <v>501</v>
      </c>
    </row>
    <row r="12" spans="1:11">
      <c r="A12" s="653" t="s">
        <v>500</v>
      </c>
      <c r="B12" s="653" t="s">
        <v>499</v>
      </c>
      <c r="C12" s="653" t="s">
        <v>498</v>
      </c>
      <c r="D12" s="653" t="s">
        <v>497</v>
      </c>
      <c r="E12" s="653" t="s">
        <v>496</v>
      </c>
      <c r="F12" s="653" t="s">
        <v>495</v>
      </c>
      <c r="G12" s="653" t="s">
        <v>494</v>
      </c>
      <c r="H12" s="653" t="s">
        <v>493</v>
      </c>
      <c r="I12" s="653" t="s">
        <v>492</v>
      </c>
      <c r="J12" s="653" t="s">
        <v>491</v>
      </c>
      <c r="K12" s="653" t="s">
        <v>490</v>
      </c>
    </row>
    <row r="13" spans="1:11">
      <c r="A13" s="653" t="s">
        <v>489</v>
      </c>
      <c r="B13" s="653" t="s">
        <v>487</v>
      </c>
      <c r="C13" s="653" t="s">
        <v>488</v>
      </c>
      <c r="D13" s="653" t="s">
        <v>488</v>
      </c>
      <c r="E13" s="653" t="s">
        <v>487</v>
      </c>
      <c r="F13" s="653" t="s">
        <v>487</v>
      </c>
      <c r="G13" s="653" t="s">
        <v>487</v>
      </c>
      <c r="H13" s="653" t="s">
        <v>487</v>
      </c>
      <c r="I13" s="653" t="s">
        <v>487</v>
      </c>
      <c r="J13" s="653" t="s">
        <v>487</v>
      </c>
      <c r="K13" s="653" t="s">
        <v>487</v>
      </c>
    </row>
    <row r="14" spans="1:11">
      <c r="A14" s="653" t="s">
        <v>224</v>
      </c>
    </row>
    <row r="15" spans="1:11">
      <c r="A15" s="653" t="s">
        <v>1047</v>
      </c>
    </row>
    <row r="16" spans="1:11">
      <c r="A16" s="653" t="s">
        <v>1046</v>
      </c>
      <c r="B16" s="653">
        <v>-62.3</v>
      </c>
      <c r="C16" s="653">
        <v>-86.8</v>
      </c>
      <c r="D16" s="653">
        <v>-212.5</v>
      </c>
      <c r="E16" s="653">
        <v>-168.3</v>
      </c>
      <c r="F16" s="653">
        <v>-76.599999999999994</v>
      </c>
      <c r="G16" s="653">
        <v>-16.7</v>
      </c>
      <c r="H16" s="653">
        <v>-19</v>
      </c>
    </row>
    <row r="17" spans="1:11">
      <c r="A17" s="653" t="s">
        <v>601</v>
      </c>
      <c r="B17" s="653">
        <v>714.6</v>
      </c>
      <c r="C17" s="653">
        <v>111.5</v>
      </c>
      <c r="D17" s="653">
        <v>222.9</v>
      </c>
      <c r="E17" s="653">
        <v>808.8</v>
      </c>
      <c r="F17" s="653">
        <v>1548.4</v>
      </c>
      <c r="G17" s="653">
        <v>1825.9</v>
      </c>
      <c r="H17" s="653">
        <v>2528</v>
      </c>
      <c r="I17" s="653">
        <v>2807</v>
      </c>
      <c r="J17" s="653">
        <v>1804</v>
      </c>
      <c r="K17" s="653">
        <v>2183000000</v>
      </c>
    </row>
    <row r="18" spans="1:11">
      <c r="A18" s="653" t="s">
        <v>1039</v>
      </c>
      <c r="K18" s="653">
        <v>262000000</v>
      </c>
    </row>
    <row r="19" spans="1:11">
      <c r="A19" s="653" t="s">
        <v>1045</v>
      </c>
      <c r="B19" s="653">
        <v>187.3</v>
      </c>
      <c r="C19" s="653">
        <v>305.10000000000002</v>
      </c>
      <c r="D19" s="653">
        <v>962</v>
      </c>
      <c r="E19" s="653">
        <v>885.4</v>
      </c>
      <c r="F19" s="653">
        <v>417.2</v>
      </c>
      <c r="G19" s="653">
        <v>106.6</v>
      </c>
      <c r="H19" s="653">
        <v>16</v>
      </c>
      <c r="I19" s="653">
        <v>-74</v>
      </c>
      <c r="J19" s="653">
        <v>-46</v>
      </c>
      <c r="K19" s="653">
        <v>-254000000</v>
      </c>
    </row>
    <row r="20" spans="1:11">
      <c r="A20" s="653" t="s">
        <v>1044</v>
      </c>
      <c r="B20" s="653">
        <v>-175.1</v>
      </c>
      <c r="C20" s="653">
        <v>-283</v>
      </c>
      <c r="D20" s="653">
        <v>-347.8</v>
      </c>
      <c r="E20" s="653">
        <v>-147.4</v>
      </c>
      <c r="F20" s="653">
        <v>-148.4</v>
      </c>
      <c r="G20" s="653">
        <v>17.2</v>
      </c>
      <c r="H20" s="653">
        <v>5</v>
      </c>
      <c r="K20" s="653">
        <v>100000000</v>
      </c>
    </row>
    <row r="21" spans="1:11">
      <c r="A21" s="653" t="s">
        <v>1043</v>
      </c>
      <c r="H21" s="653">
        <v>-225</v>
      </c>
      <c r="I21" s="653">
        <v>258</v>
      </c>
      <c r="J21" s="653">
        <v>148</v>
      </c>
      <c r="K21" s="653">
        <v>6000000</v>
      </c>
    </row>
    <row r="22" spans="1:11">
      <c r="A22" s="653" t="s">
        <v>1042</v>
      </c>
      <c r="G22" s="653">
        <v>216.8</v>
      </c>
      <c r="H22" s="653">
        <v>233</v>
      </c>
      <c r="I22" s="653">
        <v>233</v>
      </c>
      <c r="J22" s="653">
        <v>206</v>
      </c>
      <c r="K22" s="653">
        <v>186000000</v>
      </c>
    </row>
    <row r="23" spans="1:11">
      <c r="A23" s="653" t="s">
        <v>199</v>
      </c>
      <c r="B23" s="653">
        <v>84.4</v>
      </c>
      <c r="C23" s="653">
        <v>95.1</v>
      </c>
      <c r="D23" s="653">
        <v>103.1</v>
      </c>
      <c r="E23" s="653">
        <v>108</v>
      </c>
      <c r="F23" s="653">
        <v>105.6</v>
      </c>
      <c r="G23" s="653">
        <v>90.8</v>
      </c>
      <c r="H23" s="653">
        <v>81</v>
      </c>
      <c r="I23" s="653">
        <v>69</v>
      </c>
      <c r="J23" s="653">
        <v>64</v>
      </c>
      <c r="K23" s="653">
        <v>69000000</v>
      </c>
    </row>
    <row r="24" spans="1:11">
      <c r="A24" s="653" t="s">
        <v>898</v>
      </c>
      <c r="B24" s="653">
        <v>-51.5</v>
      </c>
      <c r="C24" s="653">
        <v>-0.8</v>
      </c>
      <c r="D24" s="653">
        <v>-33.9</v>
      </c>
      <c r="E24" s="653">
        <v>-84.4</v>
      </c>
      <c r="F24" s="653">
        <v>-218.2</v>
      </c>
      <c r="G24" s="653">
        <v>-383.5</v>
      </c>
      <c r="H24" s="653">
        <v>-245</v>
      </c>
      <c r="I24" s="653">
        <v>-374</v>
      </c>
      <c r="J24" s="653">
        <v>371</v>
      </c>
      <c r="K24" s="653">
        <v>-23000000</v>
      </c>
    </row>
    <row r="25" spans="1:11">
      <c r="A25" s="653" t="s">
        <v>1017</v>
      </c>
      <c r="B25" s="653">
        <v>-10.3</v>
      </c>
      <c r="C25" s="653" t="e">
        <f ca="1">_xll.BDH($B$1,B25,$C$12,$C$12,"FX="&amp;$B$2,"Per=cy","dtfmt=p","FILING_STATUS=MR")</f>
        <v>#NAME?</v>
      </c>
      <c r="D25" s="653">
        <v>16.7</v>
      </c>
      <c r="E25" s="653">
        <v>179</v>
      </c>
      <c r="F25" s="653">
        <v>88.1</v>
      </c>
      <c r="G25" s="653">
        <v>97.2</v>
      </c>
      <c r="H25" s="653">
        <v>-126</v>
      </c>
      <c r="I25" s="653">
        <v>-345</v>
      </c>
      <c r="J25" s="653">
        <v>-392</v>
      </c>
      <c r="K25" s="653">
        <v>-94000000</v>
      </c>
    </row>
    <row r="26" spans="1:11" s="672" customFormat="1">
      <c r="A26" s="672" t="s">
        <v>1041</v>
      </c>
      <c r="B26" s="672">
        <v>964.3</v>
      </c>
      <c r="C26" s="672">
        <v>1019.2</v>
      </c>
      <c r="D26" s="672">
        <v>2215.6999999999998</v>
      </c>
      <c r="E26" s="672">
        <v>3363.8</v>
      </c>
      <c r="F26" s="672">
        <v>4088.6</v>
      </c>
      <c r="G26" s="672">
        <v>3755.5</v>
      </c>
      <c r="H26" s="672">
        <v>3342</v>
      </c>
      <c r="I26" s="672">
        <v>3191</v>
      </c>
      <c r="J26" s="672">
        <v>2544</v>
      </c>
      <c r="K26" s="672">
        <v>2435000000</v>
      </c>
    </row>
    <row r="28" spans="1:11">
      <c r="A28" s="653" t="s">
        <v>1039</v>
      </c>
      <c r="F28" s="653">
        <v>2287.5</v>
      </c>
      <c r="G28" s="653">
        <v>1903.8</v>
      </c>
      <c r="H28" s="653">
        <v>986</v>
      </c>
    </row>
    <row r="29" spans="1:11">
      <c r="A29" s="653" t="s">
        <v>449</v>
      </c>
      <c r="B29" s="653">
        <v>-25.3</v>
      </c>
      <c r="C29" s="653">
        <v>-189.9</v>
      </c>
      <c r="D29" s="653">
        <v>-126.7</v>
      </c>
      <c r="E29" s="653">
        <v>-96.9</v>
      </c>
      <c r="F29" s="653">
        <v>85</v>
      </c>
      <c r="G29" s="653">
        <v>83.8</v>
      </c>
      <c r="H29" s="653">
        <v>108</v>
      </c>
    </row>
    <row r="30" spans="1:11">
      <c r="A30" s="653" t="s">
        <v>1040</v>
      </c>
      <c r="G30" s="653">
        <v>-186.4</v>
      </c>
    </row>
    <row r="31" spans="1:11">
      <c r="A31" s="653" t="s">
        <v>1039</v>
      </c>
      <c r="B31" s="653">
        <v>302.5</v>
      </c>
      <c r="C31" s="653">
        <v>958.4</v>
      </c>
      <c r="D31" s="653">
        <v>1631.9</v>
      </c>
      <c r="E31" s="653">
        <v>1879.6</v>
      </c>
      <c r="I31" s="653">
        <v>617</v>
      </c>
      <c r="J31" s="653">
        <v>389</v>
      </c>
    </row>
    <row r="32" spans="1:11">
      <c r="A32" s="653" t="s">
        <v>1038</v>
      </c>
    </row>
    <row r="33" spans="1:12">
      <c r="A33" s="653" t="s">
        <v>1037</v>
      </c>
      <c r="B33" s="653">
        <v>55</v>
      </c>
    </row>
    <row r="34" spans="1:12">
      <c r="A34" s="653" t="s">
        <v>1036</v>
      </c>
      <c r="B34" s="653">
        <v>2180.8000000000002</v>
      </c>
      <c r="C34" s="653">
        <v>4581.5</v>
      </c>
      <c r="D34" s="653">
        <v>4559.8999999999996</v>
      </c>
      <c r="E34" s="653">
        <v>6165.3</v>
      </c>
      <c r="F34" s="653">
        <v>3920.3</v>
      </c>
      <c r="G34" s="653">
        <v>7481.7</v>
      </c>
      <c r="H34" s="653">
        <v>3623</v>
      </c>
      <c r="I34" s="653">
        <v>4616</v>
      </c>
      <c r="J34" s="653">
        <v>4145</v>
      </c>
      <c r="K34" s="653">
        <v>3029000000</v>
      </c>
    </row>
    <row r="35" spans="1:12">
      <c r="A35" s="653" t="s">
        <v>1035</v>
      </c>
      <c r="B35" s="653">
        <v>741.6</v>
      </c>
      <c r="C35" s="653">
        <v>1246.2</v>
      </c>
      <c r="D35" s="653">
        <v>2086.9</v>
      </c>
      <c r="E35" s="653">
        <v>2105.5</v>
      </c>
      <c r="F35" s="653">
        <v>2048.1</v>
      </c>
      <c r="G35" s="653">
        <v>1683.4</v>
      </c>
      <c r="H35" s="653">
        <v>1579</v>
      </c>
      <c r="I35" s="653">
        <v>1790</v>
      </c>
      <c r="J35" s="653">
        <v>2173</v>
      </c>
      <c r="K35" s="653">
        <v>2578000000</v>
      </c>
    </row>
    <row r="36" spans="1:12">
      <c r="A36" s="653" t="s">
        <v>1034</v>
      </c>
      <c r="B36" s="653">
        <v>453.5</v>
      </c>
      <c r="C36" s="653">
        <v>458.1</v>
      </c>
      <c r="D36" s="653">
        <v>387.3</v>
      </c>
      <c r="E36" s="653">
        <v>501</v>
      </c>
      <c r="F36" s="653">
        <v>779.7</v>
      </c>
      <c r="G36" s="653">
        <v>697.5</v>
      </c>
      <c r="H36" s="653">
        <v>186</v>
      </c>
      <c r="I36" s="653">
        <v>360</v>
      </c>
      <c r="J36" s="653">
        <v>432</v>
      </c>
      <c r="K36" s="653">
        <v>394000000</v>
      </c>
    </row>
    <row r="37" spans="1:12">
      <c r="A37" s="653" t="s">
        <v>1033</v>
      </c>
      <c r="B37" s="653">
        <v>-3463.3</v>
      </c>
      <c r="C37" s="653">
        <v>-6307.2</v>
      </c>
      <c r="D37" s="653">
        <v>-8205.7999999999993</v>
      </c>
      <c r="E37" s="653">
        <v>-12139.5</v>
      </c>
      <c r="F37" s="653">
        <v>-11465.2</v>
      </c>
      <c r="G37" s="653">
        <v>-12206.6</v>
      </c>
      <c r="H37" s="653">
        <v>-6758</v>
      </c>
      <c r="I37" s="653">
        <v>-7909</v>
      </c>
      <c r="J37" s="653">
        <v>-7125</v>
      </c>
      <c r="K37" s="653">
        <v>-7390000000</v>
      </c>
    </row>
    <row r="38" spans="1:12">
      <c r="A38" s="653" t="s">
        <v>1032</v>
      </c>
      <c r="B38" s="653">
        <v>-579.4</v>
      </c>
      <c r="C38" s="1133">
        <v>-374.6</v>
      </c>
      <c r="D38" s="1133">
        <v>-467.7</v>
      </c>
      <c r="E38" s="1133">
        <v>-824</v>
      </c>
      <c r="F38" s="1133">
        <v>-860.4</v>
      </c>
      <c r="G38" s="1133">
        <v>-862.1</v>
      </c>
      <c r="H38" s="1133">
        <v>-377</v>
      </c>
      <c r="I38" s="1133">
        <v>-650</v>
      </c>
      <c r="J38" s="1133">
        <v>-191</v>
      </c>
      <c r="K38" s="1133">
        <v>-37000000</v>
      </c>
      <c r="L38" s="1132">
        <v>314.39999999999998</v>
      </c>
    </row>
    <row r="39" spans="1:12">
      <c r="A39" s="653" t="s">
        <v>1017</v>
      </c>
      <c r="B39" s="653" t="s">
        <v>465</v>
      </c>
      <c r="C39" s="653">
        <v>175.8</v>
      </c>
      <c r="D39" s="653">
        <v>172.9</v>
      </c>
      <c r="E39" s="653">
        <v>181.3</v>
      </c>
      <c r="F39" s="653">
        <v>193.2</v>
      </c>
      <c r="G39" s="653">
        <v>204.2</v>
      </c>
      <c r="H39" s="653">
        <v>422.4</v>
      </c>
      <c r="I39" s="653">
        <v>400.3</v>
      </c>
      <c r="J39" s="653">
        <v>366.8</v>
      </c>
      <c r="K39" s="653">
        <v>353</v>
      </c>
      <c r="L39" s="653">
        <v>317.3</v>
      </c>
    </row>
    <row r="40" spans="1:12">
      <c r="A40" s="653" t="s">
        <v>1031</v>
      </c>
      <c r="C40" s="653">
        <v>-276.5</v>
      </c>
    </row>
    <row r="41" spans="1:12">
      <c r="A41" s="653" t="s">
        <v>1030</v>
      </c>
      <c r="F41" s="653">
        <v>126.6</v>
      </c>
      <c r="H41" s="653">
        <v>50</v>
      </c>
    </row>
    <row r="42" spans="1:12">
      <c r="A42" s="653" t="s">
        <v>1030</v>
      </c>
      <c r="F42" s="653">
        <v>-1.1000000000000001</v>
      </c>
    </row>
    <row r="43" spans="1:12">
      <c r="A43" s="653" t="s">
        <v>1028</v>
      </c>
      <c r="G43" s="653">
        <v>-110.6</v>
      </c>
    </row>
    <row r="44" spans="1:12">
      <c r="A44" s="653" t="s">
        <v>1028</v>
      </c>
      <c r="I44" s="653">
        <v>-106</v>
      </c>
      <c r="J44" s="653">
        <v>-18</v>
      </c>
    </row>
    <row r="45" spans="1:12">
      <c r="A45" s="653" t="s">
        <v>1017</v>
      </c>
      <c r="I45" s="653">
        <v>12</v>
      </c>
      <c r="J45" s="653">
        <v>3</v>
      </c>
    </row>
    <row r="46" spans="1:12">
      <c r="A46" s="653" t="s">
        <v>1029</v>
      </c>
      <c r="K46" s="653">
        <v>-37000000</v>
      </c>
    </row>
    <row r="47" spans="1:12">
      <c r="A47" s="653" t="s">
        <v>1026</v>
      </c>
      <c r="C47" s="653">
        <v>-351.2</v>
      </c>
      <c r="D47" s="653">
        <v>-799.9</v>
      </c>
      <c r="E47" s="653">
        <v>-939.2</v>
      </c>
      <c r="G47" s="653">
        <v>-591</v>
      </c>
      <c r="H47" s="653">
        <v>-355</v>
      </c>
      <c r="J47" s="653">
        <v>-654</v>
      </c>
      <c r="K47" s="653">
        <v>563000000</v>
      </c>
    </row>
    <row r="48" spans="1:12">
      <c r="A48" s="653" t="s">
        <v>1028</v>
      </c>
      <c r="H48" s="653">
        <v>-264</v>
      </c>
      <c r="I48" s="653">
        <v>-164</v>
      </c>
      <c r="J48" s="653">
        <v>-45</v>
      </c>
      <c r="K48" s="653">
        <v>72000000</v>
      </c>
    </row>
    <row r="49" spans="1:11">
      <c r="A49" s="653" t="s">
        <v>1027</v>
      </c>
      <c r="B49" s="653">
        <v>-138.69999999999999</v>
      </c>
      <c r="C49" s="653">
        <v>-185.2</v>
      </c>
      <c r="D49" s="653">
        <v>-141.9</v>
      </c>
      <c r="E49" s="653">
        <v>-74.3</v>
      </c>
      <c r="F49" s="653">
        <v>-64.7</v>
      </c>
      <c r="G49" s="653">
        <v>-40.5</v>
      </c>
      <c r="H49" s="653">
        <v>-53</v>
      </c>
      <c r="I49" s="653">
        <v>-53</v>
      </c>
      <c r="J49" s="653">
        <v>-46</v>
      </c>
      <c r="K49" s="653">
        <v>-52000000</v>
      </c>
    </row>
    <row r="50" spans="1:11">
      <c r="A50" s="653" t="s">
        <v>1026</v>
      </c>
      <c r="B50" s="653">
        <v>125.5</v>
      </c>
      <c r="F50" s="653">
        <v>1388.4</v>
      </c>
      <c r="I50" s="653">
        <v>455</v>
      </c>
    </row>
    <row r="51" spans="1:11" s="672" customFormat="1">
      <c r="A51" s="672" t="s">
        <v>1025</v>
      </c>
      <c r="B51" s="672">
        <v>-623.5</v>
      </c>
      <c r="C51" s="672">
        <v>-1164.9000000000001</v>
      </c>
      <c r="D51" s="672">
        <v>-2527</v>
      </c>
      <c r="E51" s="672">
        <v>-5233.1000000000004</v>
      </c>
      <c r="F51" s="672">
        <v>-4128.3</v>
      </c>
      <c r="G51" s="672">
        <v>-3850.8</v>
      </c>
      <c r="H51" s="672">
        <v>-2369</v>
      </c>
      <c r="I51" s="672">
        <v>-1649</v>
      </c>
      <c r="J51" s="672">
        <v>-1326</v>
      </c>
      <c r="K51" s="672">
        <v>-874000000</v>
      </c>
    </row>
    <row r="52" spans="1:11" s="672" customFormat="1"/>
    <row r="53" spans="1:11">
      <c r="A53" s="653" t="s">
        <v>1024</v>
      </c>
    </row>
    <row r="54" spans="1:11">
      <c r="A54" s="653" t="s">
        <v>1008</v>
      </c>
      <c r="B54" s="653">
        <v>-242.3</v>
      </c>
      <c r="C54" s="653">
        <v>-555.6</v>
      </c>
      <c r="D54" s="653">
        <v>-99.4</v>
      </c>
    </row>
    <row r="55" spans="1:11">
      <c r="A55" s="653" t="s">
        <v>1023</v>
      </c>
      <c r="C55" s="653">
        <v>199</v>
      </c>
      <c r="D55" s="653">
        <v>-199</v>
      </c>
    </row>
    <row r="56" spans="1:11">
      <c r="A56" s="653" t="s">
        <v>1022</v>
      </c>
      <c r="C56" s="653">
        <v>-8.5</v>
      </c>
      <c r="D56" s="653">
        <v>168.6</v>
      </c>
      <c r="E56" s="653">
        <v>347.2</v>
      </c>
      <c r="F56" s="653">
        <v>44.2</v>
      </c>
      <c r="G56" s="653">
        <v>-276.5</v>
      </c>
      <c r="H56" s="653">
        <v>-29</v>
      </c>
    </row>
    <row r="57" spans="1:11">
      <c r="A57" s="653" t="s">
        <v>1021</v>
      </c>
      <c r="C57" s="653">
        <v>600</v>
      </c>
      <c r="D57" s="653">
        <v>600</v>
      </c>
      <c r="E57" s="653">
        <v>960</v>
      </c>
      <c r="I57" s="653">
        <v>1800</v>
      </c>
      <c r="J57" s="653">
        <v>1200</v>
      </c>
      <c r="K57" s="653">
        <v>0</v>
      </c>
    </row>
    <row r="58" spans="1:11">
      <c r="A58" s="653" t="s">
        <v>1020</v>
      </c>
      <c r="B58" s="653">
        <v>-5.4</v>
      </c>
      <c r="C58" s="653">
        <v>-2.8</v>
      </c>
      <c r="D58" s="653">
        <v>-7.9</v>
      </c>
      <c r="E58" s="653">
        <v>-100.4</v>
      </c>
      <c r="F58" s="653">
        <v>-0.4</v>
      </c>
      <c r="G58" s="653">
        <v>-300.7</v>
      </c>
      <c r="I58" s="653">
        <v>-800</v>
      </c>
      <c r="J58" s="653">
        <v>-685</v>
      </c>
      <c r="K58" s="653">
        <v>0</v>
      </c>
    </row>
    <row r="59" spans="1:11">
      <c r="A59" s="653" t="s">
        <v>1017</v>
      </c>
      <c r="B59" s="653">
        <v>16.3</v>
      </c>
      <c r="C59" s="653">
        <v>5</v>
      </c>
      <c r="D59" s="653">
        <v>-3.3</v>
      </c>
      <c r="E59" s="653">
        <v>-6.7</v>
      </c>
      <c r="J59" s="653">
        <v>-28</v>
      </c>
      <c r="K59" s="653">
        <v>0</v>
      </c>
    </row>
    <row r="60" spans="1:11">
      <c r="A60" s="653" t="s">
        <v>1019</v>
      </c>
      <c r="F60" s="653">
        <v>17.899999999999999</v>
      </c>
    </row>
    <row r="61" spans="1:11">
      <c r="A61" s="653" t="s">
        <v>1018</v>
      </c>
      <c r="I61" s="653">
        <v>-8</v>
      </c>
    </row>
    <row r="62" spans="1:11">
      <c r="A62" s="653" t="s">
        <v>1017</v>
      </c>
      <c r="I62" s="653">
        <v>-17</v>
      </c>
    </row>
    <row r="63" spans="1:11">
      <c r="A63" s="653" t="s">
        <v>1016</v>
      </c>
      <c r="K63" s="653">
        <v>-53000000</v>
      </c>
    </row>
    <row r="64" spans="1:11">
      <c r="A64" s="653" t="s">
        <v>1015</v>
      </c>
      <c r="B64" s="653">
        <v>119.3</v>
      </c>
    </row>
    <row r="65" spans="1:11">
      <c r="A65" s="653" t="s">
        <v>1014</v>
      </c>
      <c r="C65" s="653">
        <v>146.80000000000001</v>
      </c>
      <c r="D65" s="653">
        <v>106</v>
      </c>
      <c r="E65" s="653">
        <v>43.8</v>
      </c>
    </row>
    <row r="66" spans="1:11">
      <c r="A66" s="653" t="s">
        <v>1013</v>
      </c>
      <c r="E66" s="653">
        <v>886.8</v>
      </c>
    </row>
    <row r="67" spans="1:11">
      <c r="A67" s="653" t="s">
        <v>1012</v>
      </c>
      <c r="F67" s="653">
        <v>258.39999999999998</v>
      </c>
    </row>
    <row r="68" spans="1:11">
      <c r="A68" s="653" t="s">
        <v>1011</v>
      </c>
      <c r="G68" s="653">
        <v>600</v>
      </c>
    </row>
    <row r="69" spans="1:11">
      <c r="A69" s="653" t="s">
        <v>1010</v>
      </c>
      <c r="H69" s="653">
        <v>460</v>
      </c>
    </row>
    <row r="70" spans="1:11">
      <c r="A70" s="653" t="s">
        <v>1009</v>
      </c>
      <c r="I70" s="653">
        <v>130</v>
      </c>
      <c r="J70" s="653">
        <v>109</v>
      </c>
    </row>
    <row r="71" spans="1:11">
      <c r="A71" s="653" t="s">
        <v>1009</v>
      </c>
      <c r="K71" s="653">
        <v>34000000</v>
      </c>
    </row>
    <row r="72" spans="1:11">
      <c r="A72" s="653" t="s">
        <v>1008</v>
      </c>
      <c r="G72" s="653">
        <v>-134.9</v>
      </c>
      <c r="H72" s="653">
        <v>-1228</v>
      </c>
      <c r="I72" s="653">
        <v>-2185</v>
      </c>
      <c r="J72" s="653">
        <v>-1336</v>
      </c>
      <c r="K72" s="653">
        <v>-1060000000</v>
      </c>
    </row>
    <row r="73" spans="1:11">
      <c r="A73" s="653" t="s">
        <v>1007</v>
      </c>
      <c r="B73" s="653">
        <v>-229</v>
      </c>
      <c r="C73" s="653">
        <v>-234.8</v>
      </c>
      <c r="D73" s="653">
        <v>-237.6</v>
      </c>
      <c r="E73" s="653">
        <v>-251.1</v>
      </c>
      <c r="F73" s="653">
        <v>-290.89999999999998</v>
      </c>
      <c r="G73" s="653">
        <v>-330.1</v>
      </c>
      <c r="H73" s="653">
        <v>-403</v>
      </c>
      <c r="I73" s="653">
        <v>-451</v>
      </c>
      <c r="J73" s="653">
        <v>-471</v>
      </c>
      <c r="K73" s="653">
        <v>-487000000</v>
      </c>
    </row>
    <row r="74" spans="1:11">
      <c r="A74" s="653" t="s">
        <v>1006</v>
      </c>
      <c r="B74" s="653">
        <v>-0.3</v>
      </c>
      <c r="C74" s="653">
        <v>3.4</v>
      </c>
      <c r="D74" s="653">
        <v>16.100000000000001</v>
      </c>
      <c r="E74" s="653">
        <v>10.3</v>
      </c>
      <c r="F74" s="653">
        <v>-10.5</v>
      </c>
      <c r="G74" s="653">
        <v>-6.1</v>
      </c>
      <c r="H74" s="653">
        <v>2</v>
      </c>
      <c r="I74" s="653">
        <v>11</v>
      </c>
      <c r="J74" s="653">
        <v>7</v>
      </c>
      <c r="K74" s="653">
        <v>-5000000</v>
      </c>
    </row>
    <row r="75" spans="1:11">
      <c r="A75" s="653" t="s">
        <v>1005</v>
      </c>
      <c r="G75" s="653">
        <v>531.4</v>
      </c>
      <c r="H75" s="653">
        <v>229</v>
      </c>
    </row>
    <row r="76" spans="1:11" s="672" customFormat="1">
      <c r="A76" s="672" t="s">
        <v>1004</v>
      </c>
      <c r="B76" s="672">
        <v>-341.1</v>
      </c>
      <c r="C76" s="672">
        <v>149.1</v>
      </c>
      <c r="D76" s="672">
        <v>327.39999999999998</v>
      </c>
      <c r="E76" s="672">
        <v>1879.6</v>
      </c>
      <c r="F76" s="672">
        <v>29.2</v>
      </c>
      <c r="G76" s="672">
        <v>89.2</v>
      </c>
      <c r="H76" s="672">
        <v>-971</v>
      </c>
      <c r="I76" s="672">
        <v>-1531</v>
      </c>
      <c r="J76" s="672">
        <v>-1211</v>
      </c>
      <c r="K76" s="672">
        <v>-1566000000</v>
      </c>
    </row>
    <row r="77" spans="1:11" s="672" customFormat="1"/>
    <row r="78" spans="1:11">
      <c r="A78" s="653" t="s">
        <v>426</v>
      </c>
    </row>
    <row r="79" spans="1:11">
      <c r="A79" s="653" t="s">
        <v>1003</v>
      </c>
      <c r="B79" s="653">
        <v>52.7</v>
      </c>
      <c r="C79" s="653">
        <v>55.5</v>
      </c>
      <c r="D79" s="653">
        <v>85</v>
      </c>
      <c r="E79" s="653">
        <v>122.2</v>
      </c>
      <c r="F79" s="653">
        <v>135.6</v>
      </c>
      <c r="G79" s="653">
        <v>137.9</v>
      </c>
      <c r="H79" s="653">
        <v>129</v>
      </c>
      <c r="I79" s="653">
        <v>191</v>
      </c>
      <c r="J79" s="653">
        <v>232</v>
      </c>
      <c r="K79" s="653">
        <v>244</v>
      </c>
    </row>
    <row r="80" spans="1:11">
      <c r="A80" s="653" t="s">
        <v>1002</v>
      </c>
      <c r="B80" s="653">
        <v>159.69999999999999</v>
      </c>
      <c r="C80" s="653">
        <v>53.4</v>
      </c>
      <c r="D80" s="653">
        <v>38.5</v>
      </c>
      <c r="E80" s="653">
        <v>133.9</v>
      </c>
      <c r="F80" s="653">
        <v>377.7</v>
      </c>
      <c r="G80" s="653">
        <v>409.4</v>
      </c>
      <c r="H80" s="653">
        <v>847</v>
      </c>
      <c r="I80" s="653">
        <v>1140</v>
      </c>
      <c r="J80" s="653">
        <v>739</v>
      </c>
      <c r="K80" s="653">
        <v>720</v>
      </c>
    </row>
  </sheetData>
  <customSheetViews>
    <customSheetView guid="{5A4827F7-D52D-44AD-B257-2AB13F875B96}" topLeftCell="A20">
      <selection activeCell="A57" sqref="A57:K57"/>
      <pageMargins left="0.7" right="0.7" top="0.75" bottom="0.75" header="0.3" footer="0.3"/>
    </customSheetView>
  </customSheetViews>
  <pageMargins left="0.7" right="0.7" top="0.75" bottom="0.75" header="0.3" footer="0.3"/>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20">
    <pageSetUpPr autoPageBreaks="0" fitToPage="1"/>
  </sheetPr>
  <dimension ref="A1:R95"/>
  <sheetViews>
    <sheetView showGridLines="0" workbookViewId="0"/>
  </sheetViews>
  <sheetFormatPr defaultColWidth="8.81640625" defaultRowHeight="13" customHeight="1" outlineLevelRow="1"/>
  <cols>
    <col min="1" max="1" width="1.6796875" style="484" customWidth="1" collapsed="1"/>
    <col min="2" max="3" width="2.6796875" customWidth="1"/>
    <col min="4" max="8" width="7.6796875" customWidth="1"/>
    <col min="9" max="16" width="10.6796875" customWidth="1"/>
    <col min="17" max="17" width="1.6796875" customWidth="1"/>
    <col min="18" max="18" width="13.6796875" bestFit="1" customWidth="1"/>
  </cols>
  <sheetData>
    <row r="1" spans="1:18" ht="18.75" thickBot="1">
      <c r="A1" s="89"/>
      <c r="B1" s="16" t="str">
        <f>Name</f>
        <v>Chubb Corporation</v>
      </c>
      <c r="C1" s="7"/>
      <c r="D1" s="93"/>
      <c r="E1" s="93"/>
      <c r="F1" s="93"/>
      <c r="G1" s="93"/>
      <c r="H1" s="93"/>
      <c r="I1" s="93"/>
      <c r="J1" s="93"/>
      <c r="K1" s="93"/>
      <c r="L1" s="93"/>
      <c r="R1" s="213"/>
    </row>
    <row r="2" spans="1:18">
      <c r="A2" s="89"/>
      <c r="B2" s="2" t="str">
        <f>Subheader</f>
        <v>Dollars in millions, except per share</v>
      </c>
      <c r="C2" s="2"/>
      <c r="D2" s="214"/>
      <c r="E2" s="214"/>
      <c r="F2" s="214"/>
      <c r="G2" s="214"/>
      <c r="H2" s="214"/>
      <c r="I2" s="214"/>
      <c r="J2" s="214"/>
      <c r="K2" s="214"/>
      <c r="L2" s="214"/>
      <c r="M2" s="214"/>
      <c r="N2" s="214"/>
      <c r="O2" s="214"/>
      <c r="P2" s="214"/>
      <c r="Q2" s="214"/>
      <c r="R2" s="214"/>
    </row>
    <row r="3" spans="1:18" ht="15.5">
      <c r="A3" s="89"/>
      <c r="B3" s="93"/>
      <c r="C3" s="215"/>
      <c r="D3" s="215"/>
      <c r="E3" s="215"/>
      <c r="F3" s="215"/>
      <c r="G3" s="215"/>
      <c r="H3" s="215"/>
      <c r="I3" s="216" t="str">
        <f>IS!I4</f>
        <v>Historical Year Ending December 31,</v>
      </c>
      <c r="J3" s="217"/>
      <c r="K3" s="218"/>
      <c r="L3" s="216" t="str">
        <f>IS!L4</f>
        <v>Projected Year Ending December 31,</v>
      </c>
      <c r="M3" s="219"/>
      <c r="N3" s="219"/>
      <c r="O3" s="219"/>
      <c r="P3" s="220"/>
      <c r="R3" s="194" t="str">
        <f>IS!R3</f>
        <v>2011 - 2015</v>
      </c>
    </row>
    <row r="4" spans="1:18" ht="13" customHeight="1">
      <c r="A4" s="89"/>
      <c r="C4" s="93"/>
      <c r="H4" s="215"/>
      <c r="I4" s="221" t="str">
        <f>"     "&amp;IS!I$5&amp;"    "</f>
        <v xml:space="preserve">     2008    </v>
      </c>
      <c r="J4" s="221" t="str">
        <f>"     "&amp;IS!J$5&amp;"    "</f>
        <v xml:space="preserve">     2009    </v>
      </c>
      <c r="K4" s="222" t="str">
        <f>"     "&amp;IS!K$5&amp;"    "</f>
        <v xml:space="preserve">     2010    </v>
      </c>
      <c r="L4" s="221" t="str">
        <f>"     "&amp;IS!L$5&amp;"    "</f>
        <v xml:space="preserve">     2011    </v>
      </c>
      <c r="M4" s="221" t="str">
        <f>"     "&amp;IS!M$5&amp;"    "</f>
        <v xml:space="preserve">     2012    </v>
      </c>
      <c r="N4" s="221" t="str">
        <f>"     "&amp;IS!N$5&amp;"    "</f>
        <v xml:space="preserve">     2013    </v>
      </c>
      <c r="O4" s="221" t="str">
        <f>"     "&amp;IS!O$5&amp;"    "</f>
        <v xml:space="preserve">     2014    </v>
      </c>
      <c r="P4" s="221" t="str">
        <f>"     "&amp;IS!P$5&amp;"    "</f>
        <v xml:space="preserve">     2015    </v>
      </c>
      <c r="R4" s="223" t="s">
        <v>10</v>
      </c>
    </row>
    <row r="5" spans="1:18" ht="13" customHeight="1">
      <c r="A5" s="89" t="s">
        <v>118</v>
      </c>
      <c r="B5" s="7" t="s">
        <v>11</v>
      </c>
      <c r="C5" s="7"/>
      <c r="D5" s="93"/>
      <c r="E5" s="93"/>
      <c r="F5" s="93"/>
      <c r="G5" s="93"/>
      <c r="H5" s="93"/>
      <c r="I5" s="93"/>
      <c r="J5" s="93"/>
      <c r="K5" s="224"/>
      <c r="L5" s="225"/>
      <c r="R5" s="34"/>
    </row>
    <row r="6" spans="1:18" ht="13" customHeight="1">
      <c r="A6" s="89"/>
      <c r="C6" s="225" t="s">
        <v>190</v>
      </c>
      <c r="D6" s="225"/>
      <c r="E6" s="225"/>
      <c r="F6" s="225"/>
      <c r="G6" s="225"/>
      <c r="H6" s="225"/>
      <c r="I6" s="30">
        <f>IS!I7</f>
        <v>11828</v>
      </c>
      <c r="J6" s="30">
        <f>IS!J7</f>
        <v>11331</v>
      </c>
      <c r="K6" s="135">
        <f>IS!K7</f>
        <v>11215</v>
      </c>
      <c r="L6" s="30">
        <f>IS!L7</f>
        <v>11215</v>
      </c>
      <c r="M6" s="30">
        <f>IS!M7</f>
        <v>11775.75</v>
      </c>
      <c r="N6" s="30">
        <f>IS!N7</f>
        <v>12011.264999999999</v>
      </c>
      <c r="O6" s="30">
        <f>IS!O7</f>
        <v>12251.490299999999</v>
      </c>
      <c r="P6" s="30">
        <f>IS!P7</f>
        <v>12496.520106</v>
      </c>
      <c r="R6" s="226">
        <f>RATE(COLUMNS(L:P),0,-K6,P6)</f>
        <v>2.1875443604324394E-2</v>
      </c>
    </row>
    <row r="7" spans="1:18" s="14" customFormat="1" ht="13" customHeight="1">
      <c r="A7" s="483"/>
      <c r="B7"/>
      <c r="D7" s="14" t="s">
        <v>12</v>
      </c>
      <c r="H7" s="191"/>
      <c r="I7" s="227"/>
      <c r="J7" s="228">
        <f>J6/I6-1</f>
        <v>-4.201893811295232E-2</v>
      </c>
      <c r="K7" s="229">
        <f t="shared" ref="K7:P7" si="0">K6/J6-1</f>
        <v>-1.0237401818021352E-2</v>
      </c>
      <c r="L7" s="228">
        <f t="shared" si="0"/>
        <v>0</v>
      </c>
      <c r="M7" s="228">
        <f t="shared" si="0"/>
        <v>5.0000000000000044E-2</v>
      </c>
      <c r="N7" s="228">
        <f t="shared" si="0"/>
        <v>2.0000000000000018E-2</v>
      </c>
      <c r="O7" s="228">
        <f t="shared" si="0"/>
        <v>2.0000000000000018E-2</v>
      </c>
      <c r="P7" s="228">
        <f t="shared" si="0"/>
        <v>2.0000000000000018E-2</v>
      </c>
      <c r="R7" s="230"/>
    </row>
    <row r="8" spans="1:18" ht="4.75" customHeight="1">
      <c r="A8" s="89"/>
      <c r="C8" s="93"/>
      <c r="D8" s="14"/>
      <c r="E8" s="93"/>
      <c r="F8" s="93"/>
      <c r="G8" s="93"/>
      <c r="H8" s="225"/>
      <c r="I8" s="231"/>
      <c r="J8" s="225"/>
      <c r="K8" s="224"/>
      <c r="L8" s="225"/>
      <c r="M8" s="225"/>
      <c r="N8" s="225"/>
      <c r="O8" s="225"/>
      <c r="P8" s="225"/>
      <c r="R8" s="232"/>
    </row>
    <row r="9" spans="1:18" s="13" customFormat="1" ht="13" customHeight="1">
      <c r="A9" s="89"/>
      <c r="B9"/>
      <c r="C9" s="233" t="s">
        <v>13</v>
      </c>
      <c r="D9" s="233"/>
      <c r="E9" s="233"/>
      <c r="F9" s="233"/>
      <c r="G9" s="233"/>
      <c r="H9" s="233"/>
      <c r="I9" s="234">
        <f>IS!I11</f>
        <v>3539</v>
      </c>
      <c r="J9" s="234">
        <f>IS!J11</f>
        <v>3691</v>
      </c>
      <c r="K9" s="235">
        <f>IS!K11</f>
        <v>3029</v>
      </c>
      <c r="L9" s="234">
        <f>IS!L11</f>
        <v>3033.6500000000015</v>
      </c>
      <c r="M9" s="234">
        <f>IS!M11</f>
        <v>3185.3325000000004</v>
      </c>
      <c r="N9" s="234">
        <f>IS!N11</f>
        <v>3249.0391500000005</v>
      </c>
      <c r="O9" s="234">
        <f>IS!O11</f>
        <v>3314.0199330000014</v>
      </c>
      <c r="P9" s="234">
        <f>IS!P11</f>
        <v>3380.3003316600007</v>
      </c>
      <c r="Q9" s="236"/>
      <c r="R9" s="237">
        <f>RATE(COLUMNS(L:P),0,-K9,P9)</f>
        <v>2.218899961029891E-2</v>
      </c>
    </row>
    <row r="10" spans="1:18" s="14" customFormat="1" ht="13" customHeight="1">
      <c r="A10" s="483"/>
      <c r="B10"/>
      <c r="D10" s="14" t="s">
        <v>14</v>
      </c>
      <c r="H10" s="191"/>
      <c r="I10" s="228">
        <f t="shared" ref="I10:P10" si="1">I9/I6</f>
        <v>0.29920527561717958</v>
      </c>
      <c r="J10" s="228">
        <f>J9/J6</f>
        <v>0.32574353543376577</v>
      </c>
      <c r="K10" s="229">
        <f t="shared" si="1"/>
        <v>0.27008470798038342</v>
      </c>
      <c r="L10" s="228">
        <f t="shared" si="1"/>
        <v>0.27049933125278658</v>
      </c>
      <c r="M10" s="228">
        <f t="shared" si="1"/>
        <v>0.27049933125278647</v>
      </c>
      <c r="N10" s="228">
        <f t="shared" si="1"/>
        <v>0.27049933125278652</v>
      </c>
      <c r="O10" s="228">
        <f t="shared" si="1"/>
        <v>0.27049933125278658</v>
      </c>
      <c r="P10" s="228">
        <f t="shared" si="1"/>
        <v>0.27049933125278652</v>
      </c>
      <c r="R10" s="230"/>
    </row>
    <row r="11" spans="1:18" ht="4.75" customHeight="1">
      <c r="A11" s="89"/>
      <c r="C11" s="93"/>
      <c r="D11" s="14"/>
      <c r="E11" s="93"/>
      <c r="F11" s="93"/>
      <c r="G11" s="93"/>
      <c r="H11" s="225"/>
      <c r="I11" s="225"/>
      <c r="J11" s="225"/>
      <c r="K11" s="224"/>
      <c r="L11" s="225"/>
      <c r="M11" s="225"/>
      <c r="N11" s="225"/>
      <c r="O11" s="225"/>
      <c r="P11" s="225"/>
      <c r="R11" s="232"/>
    </row>
    <row r="12" spans="1:18" s="13" customFormat="1" ht="13" customHeight="1">
      <c r="A12" s="89"/>
      <c r="B12"/>
      <c r="C12" s="233" t="s">
        <v>193</v>
      </c>
      <c r="D12" s="233"/>
      <c r="E12" s="233"/>
      <c r="F12" s="233"/>
      <c r="G12" s="233"/>
      <c r="H12" s="233"/>
      <c r="I12" s="234">
        <f>IS!I15</f>
        <v>2647</v>
      </c>
      <c r="J12" s="234">
        <f>IS!J15</f>
        <v>3210</v>
      </c>
      <c r="K12" s="235">
        <f>IS!K15</f>
        <v>3228</v>
      </c>
      <c r="L12" s="234">
        <f>IS!L15</f>
        <v>2697.2000000000016</v>
      </c>
      <c r="M12" s="234">
        <f>IS!M15</f>
        <v>2832.0600000000004</v>
      </c>
      <c r="N12" s="234">
        <f>IS!N15</f>
        <v>2888.7012000000004</v>
      </c>
      <c r="O12" s="234">
        <f>IS!O15</f>
        <v>2946.4752240000016</v>
      </c>
      <c r="P12" s="234">
        <f>IS!P15</f>
        <v>3005.4047284800008</v>
      </c>
      <c r="Q12" s="236"/>
      <c r="R12" s="237">
        <f>RATE(COLUMNS(L:P),0,-K12,P12)</f>
        <v>-1.4188482420659499E-2</v>
      </c>
    </row>
    <row r="13" spans="1:18" s="14" customFormat="1" ht="13" customHeight="1">
      <c r="A13" s="483"/>
      <c r="B13"/>
      <c r="D13" s="14" t="s">
        <v>14</v>
      </c>
      <c r="H13" s="191"/>
      <c r="I13" s="228">
        <f>I12/I6</f>
        <v>0.22379100439634764</v>
      </c>
      <c r="J13" s="228">
        <f t="shared" ref="J13:P13" si="2">J12/J6</f>
        <v>0.28329361927455654</v>
      </c>
      <c r="K13" s="229">
        <f t="shared" si="2"/>
        <v>0.28782880071333034</v>
      </c>
      <c r="L13" s="228">
        <f t="shared" si="2"/>
        <v>0.24049933125278658</v>
      </c>
      <c r="M13" s="228">
        <f t="shared" si="2"/>
        <v>0.24049933125278647</v>
      </c>
      <c r="N13" s="228">
        <f t="shared" si="2"/>
        <v>0.2404993312527865</v>
      </c>
      <c r="O13" s="228">
        <f t="shared" si="2"/>
        <v>0.24049933125278658</v>
      </c>
      <c r="P13" s="228">
        <f t="shared" si="2"/>
        <v>0.24049933125278652</v>
      </c>
      <c r="R13" s="230"/>
    </row>
    <row r="14" spans="1:18" s="14" customFormat="1" ht="13" customHeight="1">
      <c r="A14" s="483"/>
      <c r="B14"/>
      <c r="D14" s="14" t="s">
        <v>12</v>
      </c>
      <c r="H14" s="191"/>
      <c r="I14"/>
      <c r="J14" s="238">
        <f>J12/I12-1</f>
        <v>0.21269361541367582</v>
      </c>
      <c r="K14" s="239">
        <f t="shared" ref="K14:P14" si="3">K12/J12-1</f>
        <v>5.6074766355140859E-3</v>
      </c>
      <c r="L14" s="238">
        <f t="shared" si="3"/>
        <v>-0.16443618339529065</v>
      </c>
      <c r="M14" s="238">
        <f t="shared" si="3"/>
        <v>4.99999999999996E-2</v>
      </c>
      <c r="N14" s="238">
        <f t="shared" si="3"/>
        <v>2.0000000000000018E-2</v>
      </c>
      <c r="O14" s="238">
        <f t="shared" si="3"/>
        <v>2.0000000000000462E-2</v>
      </c>
      <c r="P14" s="238">
        <f t="shared" si="3"/>
        <v>1.9999999999999796E-2</v>
      </c>
      <c r="R14" s="230"/>
    </row>
    <row r="15" spans="1:18" ht="4.75" customHeight="1">
      <c r="A15" s="89"/>
      <c r="C15" s="93"/>
      <c r="D15" s="14"/>
      <c r="E15" s="93"/>
      <c r="F15" s="93"/>
      <c r="G15" s="93"/>
      <c r="H15" s="225"/>
      <c r="I15" s="231"/>
      <c r="J15" s="231"/>
      <c r="K15" s="240"/>
      <c r="L15" s="231"/>
      <c r="M15" s="231"/>
      <c r="N15" s="231"/>
      <c r="O15" s="231"/>
      <c r="P15" s="231"/>
      <c r="R15" s="232"/>
    </row>
    <row r="16" spans="1:18" s="13" customFormat="1" ht="13" customHeight="1">
      <c r="A16" s="89"/>
      <c r="B16"/>
      <c r="C16" s="233" t="s">
        <v>192</v>
      </c>
      <c r="D16" s="233"/>
      <c r="E16" s="233"/>
      <c r="F16" s="233"/>
      <c r="G16" s="233"/>
      <c r="H16" s="233"/>
      <c r="I16" s="234">
        <f>IS!I19</f>
        <v>2578</v>
      </c>
      <c r="J16" s="234">
        <f>IS!J19</f>
        <v>3146</v>
      </c>
      <c r="K16" s="235">
        <f>IS!K19</f>
        <v>3159</v>
      </c>
      <c r="L16" s="234">
        <f>IS!L19</f>
        <v>2697.2000000000016</v>
      </c>
      <c r="M16" s="234">
        <f>IS!M19</f>
        <v>2832.0600000000004</v>
      </c>
      <c r="N16" s="234">
        <f>IS!N19</f>
        <v>2888.7012000000004</v>
      </c>
      <c r="O16" s="234">
        <f>IS!O19</f>
        <v>2946.4752240000016</v>
      </c>
      <c r="P16" s="234">
        <f>IS!P19</f>
        <v>3005.4047284800008</v>
      </c>
      <c r="Q16" s="236"/>
      <c r="R16" s="237">
        <f>RATE(COLUMNS(L:P),0,-K16,P16)</f>
        <v>-9.9191332234372463E-3</v>
      </c>
    </row>
    <row r="17" spans="1:18" s="14" customFormat="1" ht="13" customHeight="1">
      <c r="A17" s="483"/>
      <c r="B17"/>
      <c r="D17" s="14" t="s">
        <v>14</v>
      </c>
      <c r="H17" s="191"/>
      <c r="I17" s="228">
        <f>I16/I6</f>
        <v>0.21795738924585728</v>
      </c>
      <c r="J17" s="228">
        <f t="shared" ref="J17:P17" si="4">J16/J6</f>
        <v>0.27764539758185508</v>
      </c>
      <c r="K17" s="229">
        <f t="shared" si="4"/>
        <v>0.2816763263486402</v>
      </c>
      <c r="L17" s="228">
        <f t="shared" si="4"/>
        <v>0.24049933125278658</v>
      </c>
      <c r="M17" s="228">
        <f t="shared" si="4"/>
        <v>0.24049933125278647</v>
      </c>
      <c r="N17" s="228">
        <f t="shared" si="4"/>
        <v>0.2404993312527865</v>
      </c>
      <c r="O17" s="228">
        <f t="shared" si="4"/>
        <v>0.24049933125278658</v>
      </c>
      <c r="P17" s="228">
        <f t="shared" si="4"/>
        <v>0.24049933125278652</v>
      </c>
      <c r="R17" s="230"/>
    </row>
    <row r="18" spans="1:18" s="14" customFormat="1" ht="13" customHeight="1">
      <c r="A18" s="483"/>
      <c r="B18"/>
      <c r="D18" s="14" t="s">
        <v>12</v>
      </c>
      <c r="H18" s="191"/>
      <c r="I18" s="241"/>
      <c r="J18" s="228">
        <f>J16/I16-1</f>
        <v>0.2203258339798293</v>
      </c>
      <c r="K18" s="229">
        <f t="shared" ref="K18:P18" si="5">K16/J16-1</f>
        <v>4.1322314049587749E-3</v>
      </c>
      <c r="L18" s="228">
        <f t="shared" si="5"/>
        <v>-0.14618550174105682</v>
      </c>
      <c r="M18" s="228">
        <f t="shared" si="5"/>
        <v>4.99999999999996E-2</v>
      </c>
      <c r="N18" s="228">
        <f t="shared" si="5"/>
        <v>2.0000000000000018E-2</v>
      </c>
      <c r="O18" s="228">
        <f t="shared" si="5"/>
        <v>2.0000000000000462E-2</v>
      </c>
      <c r="P18" s="228">
        <f t="shared" si="5"/>
        <v>1.9999999999999796E-2</v>
      </c>
      <c r="R18" s="230"/>
    </row>
    <row r="19" spans="1:18" ht="4.75" customHeight="1">
      <c r="A19" s="89"/>
      <c r="C19" s="93"/>
      <c r="D19" s="14"/>
      <c r="E19" s="93"/>
      <c r="F19" s="93"/>
      <c r="G19" s="93"/>
      <c r="H19" s="225"/>
      <c r="I19" s="231"/>
      <c r="J19" s="225"/>
      <c r="K19" s="224"/>
      <c r="L19" s="225"/>
      <c r="M19" s="225"/>
      <c r="N19" s="225"/>
      <c r="O19" s="225"/>
      <c r="P19" s="225"/>
      <c r="R19" s="232"/>
    </row>
    <row r="20" spans="1:18" s="13" customFormat="1" ht="13" customHeight="1">
      <c r="A20" s="89"/>
      <c r="B20"/>
      <c r="C20" s="233" t="s">
        <v>15</v>
      </c>
      <c r="D20" s="233"/>
      <c r="E20" s="233"/>
      <c r="F20" s="233"/>
      <c r="G20" s="233"/>
      <c r="H20" s="233"/>
      <c r="I20" s="234">
        <f>IS!I25</f>
        <v>1735</v>
      </c>
      <c r="J20" s="234">
        <f>IS!J25</f>
        <v>2119</v>
      </c>
      <c r="K20" s="235">
        <f>IS!K25</f>
        <v>2173</v>
      </c>
      <c r="L20" s="234">
        <f>IS!L25</f>
        <v>1608.6240000000012</v>
      </c>
      <c r="M20" s="234">
        <f>IS!M25</f>
        <v>1705.7232000000004</v>
      </c>
      <c r="N20" s="234">
        <f>IS!N25</f>
        <v>1778.9048640000001</v>
      </c>
      <c r="O20" s="234">
        <f>IS!O25</f>
        <v>1820.502161280001</v>
      </c>
      <c r="P20" s="234">
        <f>IS!P25</f>
        <v>1862.9314045056005</v>
      </c>
      <c r="Q20" s="236"/>
      <c r="R20" s="237">
        <f>RATE(COLUMNS(L:P),0,-K20,P20)</f>
        <v>-3.0322256664646569E-2</v>
      </c>
    </row>
    <row r="21" spans="1:18" s="14" customFormat="1" ht="13" customHeight="1">
      <c r="A21" s="483"/>
      <c r="B21"/>
      <c r="D21" s="14" t="s">
        <v>14</v>
      </c>
      <c r="H21" s="191"/>
      <c r="I21" s="228">
        <f>I20/I6</f>
        <v>0.14668583023334461</v>
      </c>
      <c r="J21" s="228">
        <f t="shared" ref="J21:P21" si="6">J20/J6</f>
        <v>0.18700909010678668</v>
      </c>
      <c r="K21" s="229">
        <f t="shared" si="6"/>
        <v>0.19375835934016941</v>
      </c>
      <c r="L21" s="228">
        <f t="shared" si="6"/>
        <v>0.14343504235399029</v>
      </c>
      <c r="M21" s="228">
        <f t="shared" si="6"/>
        <v>0.14485049359913385</v>
      </c>
      <c r="N21" s="228">
        <f t="shared" si="6"/>
        <v>0.14810304027094567</v>
      </c>
      <c r="O21" s="228">
        <f t="shared" si="6"/>
        <v>0.1485943437656724</v>
      </c>
      <c r="P21" s="228">
        <f t="shared" si="6"/>
        <v>0.14907601385854166</v>
      </c>
      <c r="R21" s="242"/>
    </row>
    <row r="22" spans="1:18" s="14" customFormat="1" ht="13" customHeight="1">
      <c r="A22" s="483"/>
      <c r="B22"/>
      <c r="D22" s="14" t="s">
        <v>12</v>
      </c>
      <c r="H22" s="191"/>
      <c r="I22" s="241"/>
      <c r="J22" s="228">
        <f>J20/I20-1</f>
        <v>0.2213256484149857</v>
      </c>
      <c r="K22" s="229">
        <f t="shared" ref="K22:P22" si="7">K20/J20-1</f>
        <v>2.548371873525257E-2</v>
      </c>
      <c r="L22" s="228">
        <f t="shared" si="7"/>
        <v>-0.25972204325816795</v>
      </c>
      <c r="M22" s="228">
        <f t="shared" si="7"/>
        <v>6.0361650702711822E-2</v>
      </c>
      <c r="N22" s="228">
        <f t="shared" si="7"/>
        <v>4.290359889576445E-2</v>
      </c>
      <c r="O22" s="228">
        <f t="shared" si="7"/>
        <v>2.3383654810221977E-2</v>
      </c>
      <c r="P22" s="228">
        <f t="shared" si="7"/>
        <v>2.3306340485620414E-2</v>
      </c>
      <c r="R22" s="242"/>
    </row>
    <row r="23" spans="1:18" ht="4.75" customHeight="1">
      <c r="A23" s="89"/>
      <c r="C23" s="93"/>
      <c r="D23" s="93"/>
      <c r="E23" s="93"/>
      <c r="F23" s="93"/>
      <c r="G23" s="225"/>
      <c r="H23" s="243"/>
      <c r="I23" s="225"/>
      <c r="J23" s="225"/>
      <c r="K23" s="224"/>
      <c r="L23" s="225"/>
      <c r="M23" s="225"/>
      <c r="N23" s="225"/>
      <c r="O23" s="225"/>
      <c r="P23" s="225"/>
    </row>
    <row r="24" spans="1:18" ht="13" customHeight="1">
      <c r="A24" s="89" t="s">
        <v>118</v>
      </c>
      <c r="B24" s="7" t="s">
        <v>16</v>
      </c>
      <c r="C24" s="93"/>
      <c r="D24" s="225"/>
      <c r="E24" s="225"/>
      <c r="F24" s="225"/>
      <c r="G24" s="225"/>
      <c r="H24" s="225"/>
      <c r="I24" s="191"/>
      <c r="J24" s="191"/>
      <c r="K24" s="244"/>
      <c r="L24" s="13"/>
      <c r="M24" s="13"/>
      <c r="N24" s="13"/>
      <c r="O24" s="13"/>
    </row>
    <row r="25" spans="1:18" ht="13" hidden="1" customHeight="1" outlineLevel="1">
      <c r="A25" s="89"/>
      <c r="C25" s="93"/>
      <c r="E25" s="93"/>
      <c r="F25" s="213" t="s">
        <v>70</v>
      </c>
      <c r="G25" s="225"/>
      <c r="H25" s="231" t="s">
        <v>129</v>
      </c>
      <c r="I25" s="30">
        <f>IS!I21</f>
        <v>240</v>
      </c>
      <c r="J25" s="30">
        <f>IS!J21</f>
        <v>248</v>
      </c>
      <c r="K25" s="135">
        <f>IS!K21</f>
        <v>244</v>
      </c>
      <c r="L25" s="30">
        <f>IS!L21</f>
        <v>463</v>
      </c>
      <c r="M25" s="30">
        <f>IS!M21</f>
        <v>463</v>
      </c>
      <c r="N25" s="30">
        <f>IS!N21</f>
        <v>418</v>
      </c>
      <c r="O25" s="30">
        <f>IS!O21</f>
        <v>418</v>
      </c>
      <c r="P25" s="30">
        <f>IS!P21</f>
        <v>418</v>
      </c>
    </row>
    <row r="26" spans="1:18" ht="13" hidden="1" customHeight="1" outlineLevel="1">
      <c r="A26" s="89"/>
      <c r="C26" s="93"/>
      <c r="D26" s="93"/>
      <c r="E26" s="93"/>
      <c r="F26" s="93"/>
      <c r="G26" s="225"/>
      <c r="H26" s="231" t="s">
        <v>130</v>
      </c>
      <c r="I26" s="205">
        <f>Investments!I8</f>
        <v>0</v>
      </c>
      <c r="J26" s="205">
        <f>Investments!J8</f>
        <v>-3903</v>
      </c>
      <c r="K26" s="245">
        <f>Investments!K8</f>
        <v>-679</v>
      </c>
      <c r="L26" s="205">
        <f>Investments!L8</f>
        <v>771.19524690719481</v>
      </c>
      <c r="M26" s="205">
        <f>Investments!M8</f>
        <v>543.55761273177632</v>
      </c>
      <c r="N26" s="205">
        <f>Investments!N8</f>
        <v>-658.20936369041738</v>
      </c>
      <c r="O26" s="205">
        <f>Investments!O8</f>
        <v>-675.58699096421697</v>
      </c>
      <c r="P26" s="205">
        <f>Investments!P8</f>
        <v>-693.31217078349437</v>
      </c>
    </row>
    <row r="27" spans="1:18" ht="4.75" hidden="1" customHeight="1" outlineLevel="1">
      <c r="A27" s="89"/>
      <c r="C27" s="225"/>
      <c r="D27" s="93"/>
      <c r="E27" s="93"/>
      <c r="F27" s="93"/>
      <c r="G27" s="225"/>
      <c r="H27" s="243"/>
      <c r="I27" s="225"/>
      <c r="J27" s="225"/>
      <c r="K27" s="224"/>
      <c r="L27" s="225"/>
      <c r="M27" s="225"/>
      <c r="N27" s="225"/>
      <c r="O27" s="225"/>
      <c r="P27" s="225"/>
    </row>
    <row r="28" spans="1:18" ht="13" customHeight="1" collapsed="1">
      <c r="A28" s="89"/>
      <c r="C28" s="225" t="s">
        <v>71</v>
      </c>
      <c r="D28" s="93"/>
      <c r="E28" s="93"/>
      <c r="F28" s="93"/>
      <c r="G28" s="225"/>
      <c r="H28" s="243"/>
      <c r="I28" s="246">
        <f>IF(I25,I16/I25,0)</f>
        <v>10.741666666666667</v>
      </c>
      <c r="J28" s="246">
        <f t="shared" ref="J28:P28" si="8">IF(J25,J16/J25,0)</f>
        <v>12.685483870967742</v>
      </c>
      <c r="K28" s="247">
        <f t="shared" si="8"/>
        <v>12.946721311475409</v>
      </c>
      <c r="L28" s="246">
        <f t="shared" si="8"/>
        <v>5.825485961123114</v>
      </c>
      <c r="M28" s="246">
        <f t="shared" si="8"/>
        <v>6.1167602591792667</v>
      </c>
      <c r="N28" s="246">
        <f t="shared" si="8"/>
        <v>6.9107684210526328</v>
      </c>
      <c r="O28" s="246">
        <f t="shared" si="8"/>
        <v>7.048983789473688</v>
      </c>
      <c r="P28" s="246">
        <f t="shared" si="8"/>
        <v>7.1899634652631601</v>
      </c>
    </row>
    <row r="29" spans="1:18" ht="13" customHeight="1">
      <c r="A29" s="89"/>
      <c r="C29" s="93" t="s">
        <v>72</v>
      </c>
      <c r="D29" s="93"/>
      <c r="E29" s="93"/>
      <c r="F29" s="93"/>
      <c r="G29" s="225"/>
      <c r="H29" s="243"/>
      <c r="I29" s="246">
        <f>IF(I25,I12/I25,0)</f>
        <v>11.029166666666667</v>
      </c>
      <c r="J29" s="246">
        <f t="shared" ref="J29:P29" si="9">IF(J25,J12/J25,0)</f>
        <v>12.943548387096774</v>
      </c>
      <c r="K29" s="247">
        <f t="shared" si="9"/>
        <v>13.229508196721312</v>
      </c>
      <c r="L29" s="246">
        <f t="shared" si="9"/>
        <v>5.825485961123114</v>
      </c>
      <c r="M29" s="246">
        <f t="shared" si="9"/>
        <v>6.1167602591792667</v>
      </c>
      <c r="N29" s="246">
        <f t="shared" si="9"/>
        <v>6.9107684210526328</v>
      </c>
      <c r="O29" s="246">
        <f t="shared" si="9"/>
        <v>7.048983789473688</v>
      </c>
      <c r="P29" s="246">
        <f t="shared" si="9"/>
        <v>7.1899634652631601</v>
      </c>
    </row>
    <row r="30" spans="1:18" ht="13" customHeight="1">
      <c r="A30" s="89"/>
      <c r="C30" s="93" t="s">
        <v>73</v>
      </c>
      <c r="D30" s="93"/>
      <c r="E30" s="93"/>
      <c r="F30" s="93"/>
      <c r="G30" s="225"/>
      <c r="H30" s="243"/>
      <c r="I30" s="246">
        <f>IF(I25,(I12-I26)/I25,0)</f>
        <v>11.029166666666667</v>
      </c>
      <c r="J30" s="246">
        <f t="shared" ref="J30:P30" si="10">IF(J25,(J12-J26)/J25,0)</f>
        <v>28.681451612903224</v>
      </c>
      <c r="K30" s="247">
        <f t="shared" si="10"/>
        <v>16.012295081967213</v>
      </c>
      <c r="L30" s="246">
        <f t="shared" si="10"/>
        <v>4.1598374796820883</v>
      </c>
      <c r="M30" s="246">
        <f t="shared" si="10"/>
        <v>4.9427697349205708</v>
      </c>
      <c r="N30" s="246">
        <f t="shared" si="10"/>
        <v>8.4854319705512395</v>
      </c>
      <c r="O30" s="246">
        <f t="shared" si="10"/>
        <v>8.6652206099622457</v>
      </c>
      <c r="P30" s="246">
        <f t="shared" si="10"/>
        <v>8.8486050221614718</v>
      </c>
    </row>
    <row r="31" spans="1:18" ht="4.75" customHeight="1">
      <c r="A31" s="89"/>
      <c r="C31" s="93"/>
      <c r="D31" s="93"/>
      <c r="E31" s="93"/>
      <c r="F31" s="93"/>
      <c r="G31" s="225"/>
      <c r="H31" s="243"/>
      <c r="I31" s="225"/>
      <c r="J31" s="225"/>
      <c r="K31" s="224"/>
      <c r="L31" s="225"/>
      <c r="M31" s="225"/>
      <c r="N31" s="225"/>
      <c r="O31" s="225"/>
      <c r="P31" s="225"/>
    </row>
    <row r="32" spans="1:18" ht="13" customHeight="1">
      <c r="A32" s="89"/>
      <c r="B32" s="7" t="s">
        <v>74</v>
      </c>
      <c r="C32" s="93"/>
      <c r="D32" s="93"/>
      <c r="E32" s="93"/>
      <c r="F32" s="93"/>
      <c r="G32" s="225"/>
      <c r="H32" s="225"/>
      <c r="I32" s="248"/>
      <c r="J32" s="248"/>
      <c r="K32" s="249"/>
      <c r="L32" s="248"/>
      <c r="M32" s="248"/>
      <c r="N32" s="248"/>
      <c r="O32" s="248"/>
      <c r="P32" s="248"/>
    </row>
    <row r="33" spans="1:16" ht="13" hidden="1" customHeight="1" outlineLevel="1">
      <c r="A33" s="89"/>
      <c r="F33" s="213" t="s">
        <v>75</v>
      </c>
      <c r="G33" s="225"/>
      <c r="H33" s="231" t="s">
        <v>192</v>
      </c>
      <c r="I33" s="30">
        <f>IS!I19</f>
        <v>2578</v>
      </c>
      <c r="J33" s="30">
        <f>IS!J19</f>
        <v>3146</v>
      </c>
      <c r="K33" s="135">
        <f>IS!K19</f>
        <v>3159</v>
      </c>
      <c r="L33" s="30">
        <f>IS!L19</f>
        <v>2697.2000000000016</v>
      </c>
      <c r="M33" s="30">
        <f>IS!M19</f>
        <v>2832.0600000000004</v>
      </c>
      <c r="N33" s="30">
        <f>IS!N19</f>
        <v>2888.7012000000004</v>
      </c>
      <c r="O33" s="30">
        <f>IS!O19</f>
        <v>2946.4752240000016</v>
      </c>
      <c r="P33" s="30">
        <f>IS!P19</f>
        <v>3005.4047284800008</v>
      </c>
    </row>
    <row r="34" spans="1:16" ht="13" hidden="1" customHeight="1" outlineLevel="1">
      <c r="A34" s="89"/>
      <c r="F34" s="93"/>
      <c r="G34" s="225"/>
      <c r="H34" s="231" t="s">
        <v>76</v>
      </c>
      <c r="I34" s="205">
        <f>IS!I24</f>
        <v>603</v>
      </c>
      <c r="J34" s="205">
        <f>IS!J24</f>
        <v>779</v>
      </c>
      <c r="K34" s="245">
        <f>IS!K24</f>
        <v>742</v>
      </c>
      <c r="L34" s="205">
        <f>IS!L24</f>
        <v>625.57600000000048</v>
      </c>
      <c r="M34" s="205">
        <f>IS!M24</f>
        <v>663.33680000000015</v>
      </c>
      <c r="N34" s="205">
        <f>IS!N24</f>
        <v>691.79633600000022</v>
      </c>
      <c r="O34" s="205">
        <f>IS!O24</f>
        <v>707.97306272000048</v>
      </c>
      <c r="P34" s="205">
        <f>IS!P24</f>
        <v>724.47332397440027</v>
      </c>
    </row>
    <row r="35" spans="1:16" ht="4.75" hidden="1" customHeight="1" outlineLevel="1">
      <c r="A35" s="89"/>
      <c r="C35" s="225"/>
      <c r="D35" s="93"/>
      <c r="E35" s="93"/>
      <c r="F35" s="93"/>
      <c r="G35" s="225"/>
      <c r="H35" s="243"/>
      <c r="I35" s="225"/>
      <c r="J35" s="225"/>
      <c r="K35" s="224"/>
      <c r="L35" s="225"/>
      <c r="M35" s="225"/>
      <c r="N35" s="225"/>
      <c r="O35" s="225"/>
      <c r="P35" s="225"/>
    </row>
    <row r="36" spans="1:16" ht="13" customHeight="1" collapsed="1">
      <c r="A36" s="89"/>
      <c r="C36" s="93" t="s">
        <v>77</v>
      </c>
      <c r="D36" s="93"/>
      <c r="E36" s="93"/>
      <c r="F36" s="93"/>
      <c r="G36" s="225"/>
      <c r="H36" s="225"/>
      <c r="I36" s="30">
        <f>SUM(BS!I24:I25)</f>
        <v>3975</v>
      </c>
      <c r="J36" s="30">
        <f>SUM(BS!J24:J25)</f>
        <v>3975</v>
      </c>
      <c r="K36" s="135">
        <f>SUM(BS!K24:K25)</f>
        <v>3975</v>
      </c>
      <c r="L36" s="30">
        <f>SUM(BS!L24:L25)</f>
        <v>3575</v>
      </c>
      <c r="M36" s="30">
        <f>SUM(BS!M24:M25)</f>
        <v>3575</v>
      </c>
      <c r="N36" s="30">
        <f>SUM(BS!N24:N25)</f>
        <v>3300</v>
      </c>
      <c r="O36" s="30">
        <f>SUM(BS!O24:O25)</f>
        <v>3300</v>
      </c>
      <c r="P36" s="30">
        <f>SUM(BS!P24:P25)</f>
        <v>3300</v>
      </c>
    </row>
    <row r="37" spans="1:16" ht="13" customHeight="1">
      <c r="A37" s="89"/>
      <c r="C37" s="93" t="s">
        <v>78</v>
      </c>
      <c r="D37" s="93"/>
      <c r="E37" s="93"/>
      <c r="F37" s="93"/>
      <c r="G37" s="225"/>
      <c r="H37" s="225"/>
      <c r="I37" s="205">
        <f>BS!I29</f>
        <v>13432</v>
      </c>
      <c r="J37" s="205">
        <f>BS!J29</f>
        <v>15634</v>
      </c>
      <c r="K37" s="245">
        <f>BS!K29</f>
        <v>15979</v>
      </c>
      <c r="L37" s="205">
        <f>BS!L29</f>
        <v>15623.108520216092</v>
      </c>
      <c r="M37" s="205">
        <f>BS!M29</f>
        <v>15925.449195840485</v>
      </c>
      <c r="N37" s="205">
        <f>BS!N29</f>
        <v>17170.682600640488</v>
      </c>
      <c r="O37" s="205">
        <f>BS!O29</f>
        <v>18445.034113536487</v>
      </c>
      <c r="P37" s="205">
        <f>BS!P29</f>
        <v>19749.086096690407</v>
      </c>
    </row>
    <row r="38" spans="1:16" ht="13" customHeight="1">
      <c r="A38" s="89"/>
      <c r="C38" s="93" t="s">
        <v>79</v>
      </c>
      <c r="D38" s="93"/>
      <c r="E38" s="93"/>
      <c r="F38" s="93"/>
      <c r="G38" s="225"/>
      <c r="H38" s="225"/>
      <c r="I38" s="250">
        <f>I37+I36</f>
        <v>17407</v>
      </c>
      <c r="J38" s="250">
        <f t="shared" ref="J38:P38" si="11">J37+J36</f>
        <v>19609</v>
      </c>
      <c r="K38" s="251">
        <f t="shared" si="11"/>
        <v>19954</v>
      </c>
      <c r="L38" s="250">
        <f t="shared" si="11"/>
        <v>19198.10852021609</v>
      </c>
      <c r="M38" s="250">
        <f t="shared" si="11"/>
        <v>19500.449195840483</v>
      </c>
      <c r="N38" s="250">
        <f t="shared" si="11"/>
        <v>20470.682600640488</v>
      </c>
      <c r="O38" s="250">
        <f t="shared" si="11"/>
        <v>21745.034113536487</v>
      </c>
      <c r="P38" s="250">
        <f t="shared" si="11"/>
        <v>23049.086096690407</v>
      </c>
    </row>
    <row r="39" spans="1:16">
      <c r="A39" s="89"/>
      <c r="C39" t="s">
        <v>80</v>
      </c>
      <c r="H39" s="13"/>
      <c r="I39" s="228">
        <f>IF(I38&gt;0,(I33-I34)/I38,0)</f>
        <v>0.11346010225771241</v>
      </c>
      <c r="J39" s="228">
        <f t="shared" ref="J39:P39" si="12">IF(J38&gt;0,(J33-J34)/J38,0)</f>
        <v>0.12070987811719108</v>
      </c>
      <c r="K39" s="229">
        <f t="shared" si="12"/>
        <v>0.12112859577027163</v>
      </c>
      <c r="L39" s="228">
        <f t="shared" si="12"/>
        <v>0.10790771381558392</v>
      </c>
      <c r="M39" s="228">
        <f t="shared" si="12"/>
        <v>0.11121401246811263</v>
      </c>
      <c r="N39" s="228">
        <f t="shared" si="12"/>
        <v>0.10731957047349575</v>
      </c>
      <c r="O39" s="228">
        <f t="shared" si="12"/>
        <v>0.10294314322949315</v>
      </c>
      <c r="P39" s="228">
        <f t="shared" si="12"/>
        <v>9.8959732934188541E-2</v>
      </c>
    </row>
    <row r="40" spans="1:16" ht="13" customHeight="1">
      <c r="A40" s="89"/>
      <c r="C40" s="9" t="s">
        <v>81</v>
      </c>
      <c r="D40" s="93"/>
      <c r="E40" s="93"/>
      <c r="F40" s="93"/>
      <c r="G40" s="225"/>
      <c r="H40" s="225"/>
      <c r="I40" s="225"/>
      <c r="J40" s="225"/>
      <c r="K40" s="224"/>
      <c r="L40" s="13"/>
      <c r="M40" s="13"/>
      <c r="N40" s="13"/>
      <c r="O40" s="13"/>
    </row>
    <row r="41" spans="1:16" ht="4.75" customHeight="1">
      <c r="A41" s="89"/>
      <c r="C41" s="93"/>
      <c r="D41" s="93"/>
      <c r="E41" s="93"/>
      <c r="F41" s="93"/>
      <c r="G41" s="225"/>
      <c r="H41" s="243"/>
      <c r="I41" s="225"/>
      <c r="J41" s="225"/>
      <c r="K41" s="224"/>
      <c r="L41" s="225"/>
      <c r="M41" s="225"/>
      <c r="N41" s="225"/>
      <c r="O41" s="225"/>
      <c r="P41" s="225"/>
    </row>
    <row r="42" spans="1:16" ht="13" customHeight="1">
      <c r="A42" s="89"/>
      <c r="B42" s="7" t="s">
        <v>82</v>
      </c>
      <c r="C42" s="93"/>
      <c r="D42" s="93"/>
      <c r="E42" s="93"/>
      <c r="F42" s="93"/>
      <c r="G42" s="225"/>
      <c r="H42" s="225"/>
      <c r="I42" s="225"/>
      <c r="J42" s="254"/>
      <c r="K42" s="249"/>
      <c r="L42" s="13"/>
      <c r="M42" s="13"/>
      <c r="N42" s="13"/>
      <c r="O42" s="13"/>
    </row>
    <row r="43" spans="1:16" ht="13" customHeight="1">
      <c r="A43" s="89"/>
      <c r="C43" s="225" t="s">
        <v>83</v>
      </c>
      <c r="D43" s="225"/>
      <c r="E43" s="225"/>
      <c r="F43" s="225"/>
      <c r="G43" s="225"/>
      <c r="H43" s="255"/>
      <c r="I43" s="246">
        <f t="shared" ref="I43:P43" si="13">IF(I38,I36/I38,0)</f>
        <v>0.22835640834147183</v>
      </c>
      <c r="J43" s="246">
        <f t="shared" si="13"/>
        <v>0.2027130399306441</v>
      </c>
      <c r="K43" s="247">
        <f t="shared" si="13"/>
        <v>0.1992081788112659</v>
      </c>
      <c r="L43" s="246">
        <f t="shared" si="13"/>
        <v>0.18621626168200034</v>
      </c>
      <c r="M43" s="246">
        <f t="shared" si="13"/>
        <v>0.18332911022185891</v>
      </c>
      <c r="N43" s="246">
        <f t="shared" si="13"/>
        <v>0.16120615342337188</v>
      </c>
      <c r="O43" s="246">
        <f t="shared" si="13"/>
        <v>0.15175878698418407</v>
      </c>
      <c r="P43" s="246">
        <f t="shared" si="13"/>
        <v>0.14317270481599889</v>
      </c>
    </row>
    <row r="44" spans="1:16" ht="13" customHeight="1">
      <c r="A44" s="89"/>
      <c r="C44" s="93" t="s">
        <v>84</v>
      </c>
      <c r="D44" s="93"/>
      <c r="E44" s="93"/>
      <c r="F44" s="93"/>
      <c r="G44" s="225"/>
      <c r="H44" s="255"/>
      <c r="I44" s="246">
        <f>I36/I12</f>
        <v>1.5017000377786174</v>
      </c>
      <c r="J44" s="246">
        <f t="shared" ref="J44:P44" si="14">J36/J12</f>
        <v>1.2383177570093458</v>
      </c>
      <c r="K44" s="247">
        <f t="shared" si="14"/>
        <v>1.2314126394052045</v>
      </c>
      <c r="L44" s="246">
        <f t="shared" si="14"/>
        <v>1.3254486133768344</v>
      </c>
      <c r="M44" s="246">
        <f t="shared" si="14"/>
        <v>1.262332012739843</v>
      </c>
      <c r="N44" s="246">
        <f t="shared" si="14"/>
        <v>1.1423819119817582</v>
      </c>
      <c r="O44" s="246">
        <f t="shared" si="14"/>
        <v>1.1199822666487822</v>
      </c>
      <c r="P44" s="246">
        <f t="shared" si="14"/>
        <v>1.0980218300478259</v>
      </c>
    </row>
    <row r="45" spans="1:16" ht="13" customHeight="1">
      <c r="A45" s="89"/>
      <c r="C45" s="9" t="s">
        <v>81</v>
      </c>
      <c r="D45" s="93"/>
      <c r="E45" s="93"/>
      <c r="F45" s="93"/>
      <c r="G45" s="225"/>
      <c r="H45" s="225"/>
      <c r="I45" s="225"/>
      <c r="J45" s="225"/>
      <c r="K45" s="224"/>
      <c r="L45" s="13"/>
      <c r="M45" s="13"/>
      <c r="N45" s="13"/>
      <c r="O45" s="13"/>
    </row>
    <row r="46" spans="1:16" ht="4.75" customHeight="1">
      <c r="A46" s="89"/>
      <c r="C46" s="93"/>
      <c r="D46" s="93"/>
      <c r="E46" s="93"/>
      <c r="F46" s="93"/>
      <c r="G46" s="225"/>
      <c r="H46" s="225"/>
      <c r="I46" s="225"/>
      <c r="J46" s="254"/>
      <c r="K46" s="249"/>
      <c r="L46" s="13"/>
      <c r="M46" s="13"/>
      <c r="N46" s="13"/>
      <c r="O46" s="13"/>
    </row>
    <row r="47" spans="1:16" ht="13" customHeight="1">
      <c r="A47" s="89"/>
      <c r="B47" s="7" t="s">
        <v>85</v>
      </c>
      <c r="C47" s="93"/>
      <c r="D47" s="93"/>
      <c r="E47" s="14"/>
      <c r="F47" s="14"/>
      <c r="G47" s="225"/>
      <c r="H47" s="231"/>
      <c r="I47" s="256"/>
      <c r="J47" s="256"/>
      <c r="K47" s="257"/>
      <c r="L47" s="13"/>
      <c r="M47" s="13"/>
      <c r="N47" s="13"/>
      <c r="O47" s="13"/>
    </row>
    <row r="48" spans="1:16" ht="13" hidden="1" customHeight="1" outlineLevel="1">
      <c r="A48" s="89"/>
      <c r="C48" s="93"/>
      <c r="D48" s="93"/>
      <c r="F48" s="258" t="s">
        <v>70</v>
      </c>
      <c r="G48" s="225"/>
      <c r="H48" s="231" t="s">
        <v>196</v>
      </c>
      <c r="I48" s="30">
        <f>BS!I7</f>
        <v>2478</v>
      </c>
      <c r="J48" s="30">
        <f>BS!J7</f>
        <v>1918</v>
      </c>
      <c r="K48" s="135">
        <f>BS!K7</f>
        <v>2046</v>
      </c>
      <c r="L48" s="30">
        <f>BS!L7</f>
        <v>2000</v>
      </c>
      <c r="M48" s="30">
        <f>BS!M7</f>
        <v>2000</v>
      </c>
      <c r="N48" s="30">
        <f>BS!N7</f>
        <v>2000</v>
      </c>
      <c r="O48" s="30">
        <f>BS!O7</f>
        <v>2000</v>
      </c>
      <c r="P48" s="30">
        <f>BS!P7</f>
        <v>2000</v>
      </c>
    </row>
    <row r="49" spans="1:18" ht="13" hidden="1" customHeight="1" outlineLevel="1">
      <c r="A49" s="89"/>
      <c r="C49" s="93"/>
      <c r="D49" s="93"/>
      <c r="E49" s="93"/>
      <c r="F49" s="93"/>
      <c r="G49" s="225"/>
      <c r="H49" s="231" t="s">
        <v>86</v>
      </c>
      <c r="I49" s="205">
        <f>BS!I8</f>
        <v>56</v>
      </c>
      <c r="J49" s="205">
        <f>BS!J8</f>
        <v>51</v>
      </c>
      <c r="K49" s="245">
        <f>BS!K8</f>
        <v>77</v>
      </c>
      <c r="L49" s="205">
        <f>BS!L8</f>
        <v>122.7557671232878</v>
      </c>
      <c r="M49" s="205">
        <f>BS!M8</f>
        <v>971.72683001590667</v>
      </c>
      <c r="N49" s="205">
        <f>BS!N8</f>
        <v>1285.0415985063241</v>
      </c>
      <c r="O49" s="205">
        <f>BS!O8</f>
        <v>1885.1221023665416</v>
      </c>
      <c r="P49" s="205">
        <f>BS!P8</f>
        <v>2497.2042563039563</v>
      </c>
    </row>
    <row r="50" spans="1:18" ht="13" hidden="1" customHeight="1" outlineLevel="1">
      <c r="A50" s="89"/>
      <c r="C50" s="93"/>
      <c r="D50" s="93"/>
      <c r="E50" s="93"/>
      <c r="F50" s="93"/>
      <c r="G50" s="241"/>
      <c r="H50" s="231" t="s">
        <v>87</v>
      </c>
      <c r="I50" s="250">
        <f>SUM(I48:I49)</f>
        <v>2534</v>
      </c>
      <c r="J50" s="250">
        <f t="shared" ref="J50:P50" si="15">SUM(J48:J49)</f>
        <v>1969</v>
      </c>
      <c r="K50" s="251">
        <f t="shared" si="15"/>
        <v>2123</v>
      </c>
      <c r="L50" s="250">
        <f t="shared" si="15"/>
        <v>2122.755767123288</v>
      </c>
      <c r="M50" s="250">
        <f t="shared" si="15"/>
        <v>2971.7268300159067</v>
      </c>
      <c r="N50" s="250">
        <f t="shared" si="15"/>
        <v>3285.0415985063241</v>
      </c>
      <c r="O50" s="250">
        <f t="shared" si="15"/>
        <v>3885.1221023665416</v>
      </c>
      <c r="P50" s="250">
        <f t="shared" si="15"/>
        <v>4497.2042563039558</v>
      </c>
    </row>
    <row r="51" spans="1:18" s="13" customFormat="1" ht="4.75" hidden="1" customHeight="1" outlineLevel="1">
      <c r="A51" s="89"/>
      <c r="B51"/>
      <c r="C51" s="225"/>
      <c r="D51" s="225"/>
      <c r="E51" s="225"/>
      <c r="F51" s="225"/>
      <c r="G51" s="241"/>
      <c r="H51" s="231"/>
      <c r="I51" s="22"/>
      <c r="J51" s="22"/>
      <c r="K51" s="142"/>
      <c r="L51" s="23"/>
      <c r="M51" s="23"/>
      <c r="N51" s="23"/>
      <c r="O51" s="23"/>
      <c r="P51" s="23"/>
    </row>
    <row r="52" spans="1:18" ht="13" hidden="1" customHeight="1" outlineLevel="1">
      <c r="A52" s="89"/>
      <c r="C52" s="93"/>
      <c r="D52" s="93"/>
      <c r="E52" s="93"/>
      <c r="F52" s="93"/>
      <c r="G52" s="225"/>
      <c r="H52" s="231" t="s">
        <v>88</v>
      </c>
      <c r="I52" s="30">
        <f>BS!I9</f>
        <v>2201</v>
      </c>
      <c r="J52" s="30">
        <f>BS!J9</f>
        <v>2101</v>
      </c>
      <c r="K52" s="135">
        <f>BS!K9</f>
        <v>1974</v>
      </c>
      <c r="L52" s="30">
        <f>BS!L9</f>
        <v>1994.1191780821914</v>
      </c>
      <c r="M52" s="30">
        <f>BS!M9</f>
        <v>2093.825136986301</v>
      </c>
      <c r="N52" s="30">
        <f>BS!N9</f>
        <v>2135.7016397260268</v>
      </c>
      <c r="O52" s="30">
        <f>BS!O9</f>
        <v>2178.4156725205476</v>
      </c>
      <c r="P52" s="30">
        <f>BS!P9</f>
        <v>2221.9839859709587</v>
      </c>
    </row>
    <row r="53" spans="1:18" ht="13" hidden="1" customHeight="1" outlineLevel="1">
      <c r="A53" s="89"/>
      <c r="C53" s="93"/>
      <c r="D53" s="93"/>
      <c r="E53" s="93"/>
      <c r="F53" s="93"/>
      <c r="G53" s="241"/>
      <c r="H53" s="231" t="s">
        <v>89</v>
      </c>
      <c r="I53" s="205">
        <f>BS!I11</f>
        <v>6006</v>
      </c>
      <c r="J53" s="205">
        <f>BS!J11</f>
        <v>5270</v>
      </c>
      <c r="K53" s="245">
        <f>BS!K11</f>
        <v>5379</v>
      </c>
      <c r="L53" s="205">
        <f>BS!L11</f>
        <v>5316.8749452054799</v>
      </c>
      <c r="M53" s="205">
        <f>BS!M11</f>
        <v>6265.5519670022077</v>
      </c>
      <c r="N53" s="205">
        <f>BS!N11</f>
        <v>6620.7432382323514</v>
      </c>
      <c r="O53" s="205">
        <f>BS!O11</f>
        <v>7263.5377748870887</v>
      </c>
      <c r="P53" s="29">
        <f>BS!P11</f>
        <v>7919.188242274915</v>
      </c>
    </row>
    <row r="54" spans="1:18" s="13" customFormat="1" ht="4.75" hidden="1" customHeight="1" outlineLevel="1">
      <c r="A54" s="89"/>
      <c r="B54"/>
      <c r="C54" s="225"/>
      <c r="D54" s="225"/>
      <c r="E54" s="225"/>
      <c r="F54" s="225"/>
      <c r="G54" s="241"/>
      <c r="H54" s="231"/>
      <c r="I54" s="22"/>
      <c r="J54" s="22"/>
      <c r="K54" s="142"/>
      <c r="L54" s="23"/>
      <c r="M54" s="23"/>
      <c r="N54" s="23"/>
      <c r="O54" s="23"/>
      <c r="P54" s="23"/>
    </row>
    <row r="55" spans="1:18" ht="13" hidden="1" customHeight="1" outlineLevel="1">
      <c r="A55" s="89"/>
      <c r="C55" s="93"/>
      <c r="D55" s="93"/>
      <c r="E55" s="93"/>
      <c r="F55" s="93"/>
      <c r="G55" s="225"/>
      <c r="H55" s="231" t="s">
        <v>197</v>
      </c>
      <c r="I55" s="30">
        <f>BS!I13</f>
        <v>36260</v>
      </c>
      <c r="J55" s="30">
        <f>BS!J13</f>
        <v>40086</v>
      </c>
      <c r="K55" s="135">
        <f>BS!K13</f>
        <v>40167</v>
      </c>
      <c r="L55" s="30">
        <f>BS!L13</f>
        <v>39811.10852021609</v>
      </c>
      <c r="M55" s="30">
        <f>BS!M13</f>
        <v>40113.449195840483</v>
      </c>
      <c r="N55" s="30">
        <f>BS!N13</f>
        <v>41358.682600640481</v>
      </c>
      <c r="O55" s="30">
        <f>BS!O13</f>
        <v>42633.03411353648</v>
      </c>
      <c r="P55" s="30">
        <f>BS!P13</f>
        <v>43937.0860966904</v>
      </c>
    </row>
    <row r="56" spans="1:18" ht="13" hidden="1" customHeight="1" outlineLevel="1">
      <c r="A56" s="89"/>
      <c r="C56" s="93"/>
      <c r="D56" s="93"/>
      <c r="E56" s="93"/>
      <c r="F56" s="93"/>
      <c r="G56" s="225"/>
      <c r="H56" s="231" t="s">
        <v>90</v>
      </c>
      <c r="I56" s="205">
        <f>BS!I17</f>
        <v>48429</v>
      </c>
      <c r="J56" s="205">
        <f>BS!J17</f>
        <v>50449</v>
      </c>
      <c r="K56" s="245">
        <f>BS!K17</f>
        <v>50243</v>
      </c>
      <c r="L56" s="205">
        <f>BS!L17</f>
        <v>49824.983465421567</v>
      </c>
      <c r="M56" s="205">
        <f>BS!M17</f>
        <v>51076.001162842687</v>
      </c>
      <c r="N56" s="205">
        <f>BS!N17</f>
        <v>52676.425838872834</v>
      </c>
      <c r="O56" s="205">
        <f>BS!O17</f>
        <v>54593.571888423568</v>
      </c>
      <c r="P56" s="29">
        <f>BS!P17</f>
        <v>56553.274338965319</v>
      </c>
    </row>
    <row r="57" spans="1:18" s="13" customFormat="1" ht="4.75" hidden="1" customHeight="1" outlineLevel="1">
      <c r="A57" s="89"/>
      <c r="B57"/>
      <c r="C57" s="225"/>
      <c r="D57" s="225"/>
      <c r="E57" s="225"/>
      <c r="F57" s="225"/>
      <c r="G57" s="225"/>
      <c r="H57" s="231"/>
      <c r="I57" s="22"/>
      <c r="J57" s="22"/>
      <c r="K57" s="142"/>
      <c r="L57" s="23"/>
      <c r="M57" s="23"/>
      <c r="N57" s="23"/>
      <c r="O57" s="23"/>
      <c r="P57" s="23"/>
    </row>
    <row r="58" spans="1:18" ht="13" hidden="1" customHeight="1" outlineLevel="1">
      <c r="A58" s="89"/>
      <c r="C58" s="93"/>
      <c r="D58" s="93"/>
      <c r="E58" s="93"/>
      <c r="F58" s="93"/>
      <c r="G58" s="225"/>
      <c r="H58" s="231" t="s">
        <v>172</v>
      </c>
      <c r="I58" s="30">
        <f>BS!I19</f>
        <v>22367</v>
      </c>
      <c r="J58" s="30">
        <f>BS!J19</f>
        <v>22839</v>
      </c>
      <c r="K58" s="135">
        <f>BS!K19</f>
        <v>22755</v>
      </c>
      <c r="L58" s="30">
        <f>BS!L19</f>
        <v>23158.974999999999</v>
      </c>
      <c r="M58" s="30">
        <f>BS!M19</f>
        <v>24316.923749999998</v>
      </c>
      <c r="N58" s="30">
        <f>BS!N19</f>
        <v>24803.262224999999</v>
      </c>
      <c r="O58" s="30">
        <f>BS!O19</f>
        <v>25299.327469499996</v>
      </c>
      <c r="P58" s="28">
        <f>BS!P19</f>
        <v>25805.31401889</v>
      </c>
    </row>
    <row r="59" spans="1:18" ht="13" hidden="1" customHeight="1" outlineLevel="1">
      <c r="A59" s="89"/>
      <c r="C59" s="93"/>
      <c r="D59" s="93"/>
      <c r="E59" s="93"/>
      <c r="F59" s="93"/>
      <c r="G59" s="225"/>
      <c r="H59" s="231" t="s">
        <v>91</v>
      </c>
      <c r="I59" s="205">
        <f>BS!I22</f>
        <v>31022</v>
      </c>
      <c r="J59" s="205">
        <f>BS!J22</f>
        <v>30840</v>
      </c>
      <c r="K59" s="245">
        <f>BS!K22</f>
        <v>30141</v>
      </c>
      <c r="L59" s="205">
        <f>BS!L22</f>
        <v>30560.874999999996</v>
      </c>
      <c r="M59" s="205">
        <f>BS!M22</f>
        <v>31509.55185</v>
      </c>
      <c r="N59" s="205">
        <f>BS!N22</f>
        <v>32139.742886999997</v>
      </c>
      <c r="O59" s="205">
        <f>BS!O22</f>
        <v>32782.537744739995</v>
      </c>
      <c r="P59" s="29">
        <f>BS!P22</f>
        <v>33438.188499634802</v>
      </c>
    </row>
    <row r="60" spans="1:18" ht="13" hidden="1" customHeight="1" outlineLevel="1">
      <c r="A60" s="89"/>
      <c r="C60" s="93"/>
      <c r="D60" s="93"/>
      <c r="E60" s="93"/>
      <c r="F60" s="93"/>
      <c r="G60" s="225"/>
      <c r="H60" s="231"/>
      <c r="I60" s="259"/>
      <c r="J60" s="259"/>
      <c r="K60" s="260"/>
      <c r="L60" s="13"/>
      <c r="M60" s="13"/>
      <c r="N60" s="13"/>
      <c r="O60" s="13"/>
    </row>
    <row r="61" spans="1:18" ht="13" customHeight="1" collapsed="1">
      <c r="A61" s="89"/>
      <c r="C61" s="225" t="s">
        <v>92</v>
      </c>
      <c r="D61" s="225"/>
      <c r="E61" s="225"/>
      <c r="F61" s="225"/>
      <c r="G61" s="225"/>
      <c r="H61" s="225"/>
      <c r="I61" s="30">
        <f>I53-I59</f>
        <v>-25016</v>
      </c>
      <c r="J61" s="30">
        <f t="shared" ref="J61:P61" si="16">J53-J59</f>
        <v>-25570</v>
      </c>
      <c r="K61" s="135">
        <f t="shared" si="16"/>
        <v>-24762</v>
      </c>
      <c r="L61" s="30">
        <f t="shared" si="16"/>
        <v>-25244.000054794516</v>
      </c>
      <c r="M61" s="30">
        <f t="shared" si="16"/>
        <v>-25243.999882997792</v>
      </c>
      <c r="N61" s="30">
        <f t="shared" si="16"/>
        <v>-25518.999648767647</v>
      </c>
      <c r="O61" s="30">
        <f t="shared" si="16"/>
        <v>-25518.999969852906</v>
      </c>
      <c r="P61" s="30">
        <f t="shared" si="16"/>
        <v>-25519.000257359887</v>
      </c>
      <c r="R61" s="75"/>
    </row>
    <row r="62" spans="1:18" ht="13" customHeight="1">
      <c r="A62" s="89"/>
      <c r="C62" s="93" t="s">
        <v>93</v>
      </c>
      <c r="D62" s="93"/>
      <c r="E62" s="93"/>
      <c r="F62" s="93"/>
      <c r="G62" s="225"/>
      <c r="H62" s="255"/>
      <c r="I62" s="246">
        <f>I53/I59</f>
        <v>0.19360453871446071</v>
      </c>
      <c r="J62" s="246">
        <f t="shared" ref="J62:P62" si="17">J53/J59</f>
        <v>0.17088197146562906</v>
      </c>
      <c r="K62" s="247">
        <f t="shared" si="17"/>
        <v>0.17846123220861948</v>
      </c>
      <c r="L62" s="246">
        <f t="shared" si="17"/>
        <v>0.1739765286565087</v>
      </c>
      <c r="M62" s="246">
        <f t="shared" si="17"/>
        <v>0.19884611488062809</v>
      </c>
      <c r="N62" s="246">
        <f t="shared" si="17"/>
        <v>0.20599863731051607</v>
      </c>
      <c r="O62" s="246">
        <f t="shared" si="17"/>
        <v>0.22156728168649889</v>
      </c>
      <c r="P62" s="246">
        <f t="shared" si="17"/>
        <v>0.23683065972193454</v>
      </c>
    </row>
    <row r="63" spans="1:18" ht="13" customHeight="1">
      <c r="A63" s="89"/>
      <c r="C63" s="93" t="s">
        <v>94</v>
      </c>
      <c r="D63" s="93"/>
      <c r="E63" s="93"/>
      <c r="F63" s="93"/>
      <c r="G63" s="225"/>
      <c r="H63" s="255"/>
      <c r="I63" s="246">
        <f>I50/I59</f>
        <v>8.1683966217523052E-2</v>
      </c>
      <c r="J63" s="246">
        <f t="shared" ref="J63:P63" si="18">J50/J59</f>
        <v>6.3845654993514911E-2</v>
      </c>
      <c r="K63" s="247">
        <f t="shared" si="18"/>
        <v>7.0435619256162707E-2</v>
      </c>
      <c r="L63" s="246">
        <f t="shared" si="18"/>
        <v>6.9459914584359517E-2</v>
      </c>
      <c r="M63" s="246">
        <f t="shared" si="18"/>
        <v>9.4311935763564558E-2</v>
      </c>
      <c r="N63" s="246">
        <f t="shared" si="18"/>
        <v>0.10221119721013916</v>
      </c>
      <c r="O63" s="246">
        <f t="shared" si="18"/>
        <v>0.11851193866130498</v>
      </c>
      <c r="P63" s="246">
        <f t="shared" si="18"/>
        <v>0.13449305892731217</v>
      </c>
    </row>
    <row r="64" spans="1:18" ht="4.75" customHeight="1">
      <c r="A64" s="89"/>
      <c r="B64" s="93"/>
      <c r="C64" s="93"/>
      <c r="D64" s="93"/>
      <c r="E64" s="93"/>
      <c r="F64" s="93"/>
      <c r="G64" s="225"/>
      <c r="H64" s="255"/>
      <c r="I64" s="225"/>
      <c r="J64" s="225"/>
      <c r="K64" s="224"/>
      <c r="M64" s="13"/>
      <c r="N64" s="13"/>
      <c r="O64" s="13"/>
    </row>
    <row r="65" spans="1:17" ht="13" customHeight="1">
      <c r="A65" s="89" t="s">
        <v>118</v>
      </c>
      <c r="B65" s="7" t="s">
        <v>95</v>
      </c>
      <c r="C65" s="93"/>
      <c r="D65" s="93"/>
      <c r="H65" s="225"/>
      <c r="I65" s="13"/>
      <c r="J65" s="254"/>
      <c r="K65" s="249"/>
      <c r="L65" s="13"/>
      <c r="M65" s="13"/>
      <c r="N65" s="13"/>
      <c r="O65" s="13"/>
    </row>
    <row r="66" spans="1:17" ht="13" customHeight="1">
      <c r="A66" s="89"/>
      <c r="B66" s="93"/>
      <c r="C66" s="225" t="s">
        <v>96</v>
      </c>
      <c r="D66" s="93"/>
      <c r="E66" s="93"/>
      <c r="F66" s="93"/>
      <c r="H66" s="255"/>
      <c r="I66" s="205">
        <f>workingcap!I27</f>
        <v>1.7281028068988842</v>
      </c>
      <c r="J66" s="205">
        <f>workingcap!J27</f>
        <v>1.6428382314005825</v>
      </c>
      <c r="K66" s="245">
        <f>workingcap!K27</f>
        <v>2.5060187249219794</v>
      </c>
      <c r="L66" s="205">
        <f>workingcap!L27</f>
        <v>2</v>
      </c>
      <c r="M66" s="205">
        <f>workingcap!M27</f>
        <v>2</v>
      </c>
      <c r="N66" s="205">
        <f>workingcap!N27</f>
        <v>2</v>
      </c>
      <c r="O66" s="205">
        <f>workingcap!O27</f>
        <v>2</v>
      </c>
      <c r="P66" s="205">
        <f>workingcap!P27</f>
        <v>2</v>
      </c>
    </row>
    <row r="67" spans="1:17" ht="13" customHeight="1">
      <c r="A67" s="89"/>
      <c r="B67" s="93"/>
      <c r="C67" s="13" t="s">
        <v>97</v>
      </c>
      <c r="D67" s="93"/>
      <c r="E67" s="93"/>
      <c r="F67" s="93"/>
      <c r="G67" s="225"/>
      <c r="H67" s="255"/>
      <c r="I67" s="205">
        <f>workingcap!I28</f>
        <v>116.46346767178893</v>
      </c>
      <c r="J67" s="205">
        <f>workingcap!J28</f>
        <v>122.34604339502233</v>
      </c>
      <c r="K67" s="245">
        <f>workingcap!K28</f>
        <v>110.86474842283428</v>
      </c>
      <c r="L67" s="205">
        <f>workingcap!L28</f>
        <v>110</v>
      </c>
      <c r="M67" s="205">
        <f>workingcap!M28</f>
        <v>110</v>
      </c>
      <c r="N67" s="205">
        <f>workingcap!N28</f>
        <v>110</v>
      </c>
      <c r="O67" s="205">
        <f>workingcap!O28</f>
        <v>110</v>
      </c>
      <c r="P67" s="205">
        <f>workingcap!P28</f>
        <v>110</v>
      </c>
    </row>
    <row r="68" spans="1:17" ht="13" customHeight="1">
      <c r="A68" s="89"/>
      <c r="B68" s="93"/>
      <c r="C68" s="13" t="s">
        <v>98</v>
      </c>
      <c r="D68" s="93"/>
      <c r="E68" s="93"/>
      <c r="F68" s="93"/>
      <c r="G68" s="225"/>
      <c r="H68" s="255"/>
      <c r="I68" s="205">
        <f>workingcap!I31</f>
        <v>3.2425340678457526</v>
      </c>
      <c r="J68" s="205">
        <f>workingcap!J31</f>
        <v>3.6437460114869178</v>
      </c>
      <c r="K68" s="245">
        <f>workingcap!K31</f>
        <v>3.5013078935220805</v>
      </c>
      <c r="L68" s="205">
        <f>workingcap!L31</f>
        <v>3.5</v>
      </c>
      <c r="M68" s="205">
        <f>workingcap!M31</f>
        <v>3.5</v>
      </c>
      <c r="N68" s="205">
        <f>workingcap!N31</f>
        <v>3.5</v>
      </c>
      <c r="O68" s="205">
        <f>workingcap!O31</f>
        <v>3.5</v>
      </c>
      <c r="P68" s="205">
        <f>workingcap!P31</f>
        <v>3.5</v>
      </c>
    </row>
    <row r="69" spans="1:17" ht="13" customHeight="1">
      <c r="A69" s="89"/>
      <c r="B69" s="93"/>
      <c r="C69" s="93" t="s">
        <v>99</v>
      </c>
      <c r="D69" s="93"/>
      <c r="E69" s="93"/>
      <c r="F69" s="93"/>
      <c r="G69" s="225"/>
      <c r="H69" s="255"/>
      <c r="I69" s="246">
        <f>I6/I55</f>
        <v>0.32619966905681191</v>
      </c>
      <c r="J69" s="246">
        <f t="shared" ref="J69:P69" si="19">J6/J55</f>
        <v>0.28266726537943421</v>
      </c>
      <c r="K69" s="247">
        <f t="shared" si="19"/>
        <v>0.27920930116762516</v>
      </c>
      <c r="L69" s="246">
        <f t="shared" si="19"/>
        <v>0.28170529324258881</v>
      </c>
      <c r="M69" s="246">
        <f t="shared" si="19"/>
        <v>0.29356114310960507</v>
      </c>
      <c r="N69" s="246">
        <f t="shared" si="19"/>
        <v>0.29041701148899729</v>
      </c>
      <c r="O69" s="246">
        <f t="shared" si="19"/>
        <v>0.28737082768664618</v>
      </c>
      <c r="P69" s="246">
        <f t="shared" si="19"/>
        <v>0.28441849963603555</v>
      </c>
      <c r="Q69" s="246"/>
    </row>
    <row r="70" spans="1:17" ht="13" customHeight="1">
      <c r="A70" s="89"/>
      <c r="B70" s="93"/>
      <c r="C70" s="93" t="s">
        <v>100</v>
      </c>
      <c r="D70" s="93"/>
      <c r="E70" s="93"/>
      <c r="F70" s="93"/>
      <c r="G70" s="225"/>
      <c r="H70" s="255"/>
      <c r="I70" s="246">
        <f>I6/I56</f>
        <v>0.24423382683929051</v>
      </c>
      <c r="J70" s="246">
        <f t="shared" ref="J70:P70" si="20">J6/J56</f>
        <v>0.22460306448096096</v>
      </c>
      <c r="K70" s="247">
        <f t="shared" si="20"/>
        <v>0.22321517425312978</v>
      </c>
      <c r="L70" s="246">
        <f t="shared" si="20"/>
        <v>0.22508788202174088</v>
      </c>
      <c r="M70" s="246">
        <f t="shared" si="20"/>
        <v>0.23055348366948406</v>
      </c>
      <c r="N70" s="246">
        <f t="shared" si="20"/>
        <v>0.22801974144449691</v>
      </c>
      <c r="O70" s="246">
        <f t="shared" si="20"/>
        <v>0.22441268955691646</v>
      </c>
      <c r="P70" s="246">
        <f t="shared" si="20"/>
        <v>0.22096899343262028</v>
      </c>
      <c r="Q70" s="246"/>
    </row>
    <row r="71" spans="1:17" ht="4.75" customHeight="1">
      <c r="A71" s="89"/>
      <c r="B71" s="93"/>
      <c r="C71" s="93"/>
      <c r="D71" s="93"/>
      <c r="E71" s="93"/>
      <c r="F71" s="93"/>
      <c r="G71" s="225"/>
      <c r="H71" s="255"/>
      <c r="I71" s="225"/>
      <c r="J71" s="225"/>
      <c r="K71" s="224"/>
      <c r="M71" s="13"/>
      <c r="N71" s="13"/>
      <c r="O71" s="13"/>
    </row>
    <row r="72" spans="1:17" ht="13" customHeight="1">
      <c r="A72" s="89"/>
      <c r="B72" s="7" t="s">
        <v>101</v>
      </c>
      <c r="G72" s="13"/>
      <c r="H72" s="13"/>
      <c r="I72" s="13"/>
      <c r="J72" s="13"/>
      <c r="K72" s="24"/>
      <c r="L72" s="13"/>
      <c r="M72" s="13"/>
      <c r="N72" s="13"/>
      <c r="O72" s="13"/>
    </row>
    <row r="73" spans="1:17" ht="13" customHeight="1">
      <c r="A73" s="89"/>
      <c r="B73" s="89"/>
      <c r="C73" t="s">
        <v>102</v>
      </c>
      <c r="H73" s="13"/>
      <c r="I73" s="228">
        <f>I20/I6</f>
        <v>0.14668583023334461</v>
      </c>
      <c r="J73" s="228">
        <f t="shared" ref="J73:P73" si="21">J20/J6</f>
        <v>0.18700909010678668</v>
      </c>
      <c r="K73" s="229">
        <f t="shared" si="21"/>
        <v>0.19375835934016941</v>
      </c>
      <c r="L73" s="228">
        <f t="shared" si="21"/>
        <v>0.14343504235399029</v>
      </c>
      <c r="M73" s="228">
        <f t="shared" si="21"/>
        <v>0.14485049359913385</v>
      </c>
      <c r="N73" s="228">
        <f t="shared" si="21"/>
        <v>0.14810304027094567</v>
      </c>
      <c r="O73" s="228">
        <f t="shared" si="21"/>
        <v>0.1485943437656724</v>
      </c>
      <c r="P73" s="228">
        <f t="shared" si="21"/>
        <v>0.14907601385854166</v>
      </c>
      <c r="Q73" s="252"/>
    </row>
    <row r="74" spans="1:17" ht="13" customHeight="1">
      <c r="A74" s="89"/>
      <c r="C74" t="s">
        <v>100</v>
      </c>
      <c r="H74" s="13"/>
      <c r="I74" s="246">
        <f>I6/I56</f>
        <v>0.24423382683929051</v>
      </c>
      <c r="J74" s="246">
        <f t="shared" ref="J74:P74" si="22">J6/J56</f>
        <v>0.22460306448096096</v>
      </c>
      <c r="K74" s="247">
        <f t="shared" si="22"/>
        <v>0.22321517425312978</v>
      </c>
      <c r="L74" s="246">
        <f t="shared" si="22"/>
        <v>0.22508788202174088</v>
      </c>
      <c r="M74" s="246">
        <f t="shared" si="22"/>
        <v>0.23055348366948406</v>
      </c>
      <c r="N74" s="246">
        <f t="shared" si="22"/>
        <v>0.22801974144449691</v>
      </c>
      <c r="O74" s="246">
        <f t="shared" si="22"/>
        <v>0.22441268955691646</v>
      </c>
      <c r="P74" s="246">
        <f t="shared" si="22"/>
        <v>0.22096899343262028</v>
      </c>
      <c r="Q74" s="246"/>
    </row>
    <row r="75" spans="1:17" ht="13" customHeight="1">
      <c r="A75" s="89"/>
      <c r="C75" t="s">
        <v>103</v>
      </c>
      <c r="H75" s="13"/>
      <c r="I75" s="323">
        <f t="shared" ref="I75:P75" si="23">IF(I37&lt;0,"NM  ",I56/I37)</f>
        <v>3.6054943418701608</v>
      </c>
      <c r="J75" s="323">
        <f t="shared" si="23"/>
        <v>3.2268773186644495</v>
      </c>
      <c r="K75" s="324">
        <f t="shared" si="23"/>
        <v>3.1443144126666249</v>
      </c>
      <c r="L75" s="323">
        <f t="shared" si="23"/>
        <v>3.1891850076410022</v>
      </c>
      <c r="M75" s="323">
        <f t="shared" si="23"/>
        <v>3.2071937522605678</v>
      </c>
      <c r="N75" s="323">
        <f t="shared" si="23"/>
        <v>3.0678119830197046</v>
      </c>
      <c r="O75" s="323">
        <f t="shared" si="23"/>
        <v>2.9597978270128706</v>
      </c>
      <c r="P75" s="323">
        <f t="shared" si="23"/>
        <v>2.8635894371052761</v>
      </c>
      <c r="Q75" s="246"/>
    </row>
    <row r="76" spans="1:17" s="93" customFormat="1" ht="13" customHeight="1">
      <c r="A76" s="89" t="s">
        <v>118</v>
      </c>
      <c r="D76" s="93" t="s">
        <v>25</v>
      </c>
      <c r="H76" s="225"/>
      <c r="I76" s="238">
        <f t="shared" ref="I76:P76" si="24">IF(I37&lt;0,"NM  ",I73*I74*I75)</f>
        <v>0.12916914830256107</v>
      </c>
      <c r="J76" s="238">
        <f t="shared" si="24"/>
        <v>0.13553793015223231</v>
      </c>
      <c r="K76" s="239">
        <f t="shared" si="24"/>
        <v>0.13599098817197572</v>
      </c>
      <c r="L76" s="238">
        <f t="shared" si="24"/>
        <v>0.10296440032522741</v>
      </c>
      <c r="M76" s="238">
        <f t="shared" si="24"/>
        <v>0.10710675592406603</v>
      </c>
      <c r="N76" s="238">
        <f t="shared" si="24"/>
        <v>0.10360128978993793</v>
      </c>
      <c r="O76" s="238">
        <f t="shared" si="24"/>
        <v>9.8698769006014792E-2</v>
      </c>
      <c r="P76" s="238">
        <f t="shared" si="24"/>
        <v>9.433000572202653E-2</v>
      </c>
      <c r="Q76" s="261"/>
    </row>
    <row r="77" spans="1:17">
      <c r="A77" s="89"/>
    </row>
    <row r="78" spans="1:17">
      <c r="A78" s="89"/>
      <c r="H78" s="13"/>
      <c r="I78" s="13"/>
    </row>
    <row r="80" spans="1:17">
      <c r="A80" s="89" t="s">
        <v>118</v>
      </c>
      <c r="B80" s="89" t="s">
        <v>131</v>
      </c>
    </row>
    <row r="82" spans="1:1">
      <c r="A82" s="89"/>
    </row>
    <row r="83" spans="1:1">
      <c r="A83" s="89"/>
    </row>
    <row r="84" spans="1:1">
      <c r="A84" s="89"/>
    </row>
    <row r="85" spans="1:1">
      <c r="A85" s="89"/>
    </row>
    <row r="86" spans="1:1">
      <c r="A86" s="89"/>
    </row>
    <row r="87" spans="1:1">
      <c r="A87" s="89"/>
    </row>
    <row r="88" spans="1:1">
      <c r="A88" s="89"/>
    </row>
    <row r="89" spans="1:1">
      <c r="A89" s="89"/>
    </row>
    <row r="90" spans="1:1">
      <c r="A90" s="89"/>
    </row>
    <row r="91" spans="1:1">
      <c r="A91" s="89"/>
    </row>
    <row r="92" spans="1:1">
      <c r="A92" s="89"/>
    </row>
    <row r="93" spans="1:1">
      <c r="A93" s="89"/>
    </row>
    <row r="94" spans="1:1">
      <c r="A94" s="89"/>
    </row>
    <row r="95" spans="1:1">
      <c r="A95" s="89"/>
    </row>
  </sheetData>
  <customSheetViews>
    <customSheetView guid="{5A4827F7-D52D-44AD-B257-2AB13F875B96}" showGridLines="0" fitToPage="1" hiddenRows="1" state="hidden">
      <pageMargins left="0.5" right="0.5" top="0.7" bottom="0.65" header="0.25" footer="0.25"/>
      <printOptions horizontalCentered="1"/>
      <pageSetup scale="75" orientation="landscape" r:id="rId1"/>
      <headerFooter alignWithMargins="0">
        <oddFooter>&amp;L&amp;8COPYRIGHT 2011 © by Training The Street, Inc&amp;C&amp;8&amp;G&amp;R&amp;8For training purposes only!</oddFooter>
      </headerFooter>
    </customSheetView>
  </customSheetViews>
  <phoneticPr fontId="10" type="noConversion"/>
  <printOptions horizontalCentered="1"/>
  <pageMargins left="0.5" right="0.5" top="0.7" bottom="0.65" header="0.25" footer="0.25"/>
  <pageSetup scale="75" orientation="landscape" r:id="rId2"/>
  <headerFooter alignWithMargins="0">
    <oddFooter>&amp;L&amp;8COPYRIGHT 2011 © by Training The Street, Inc&amp;C&amp;8&amp;G&amp;R&amp;8For training purposes only!</oddFooter>
  </headerFooter>
  <legacyDrawing r:id="rId3"/>
  <legacyDrawingHF r:id="rId4"/>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12">
    <pageSetUpPr fitToPage="1"/>
  </sheetPr>
  <dimension ref="A1:Y41"/>
  <sheetViews>
    <sheetView showGridLines="0" workbookViewId="0"/>
  </sheetViews>
  <sheetFormatPr defaultColWidth="8.81640625" defaultRowHeight="13" customHeight="1"/>
  <cols>
    <col min="1" max="1" width="1.6796875" style="484" customWidth="1"/>
    <col min="2" max="2" width="9.5" bestFit="1" customWidth="1"/>
    <col min="3" max="5" width="9.1796875" customWidth="1"/>
    <col min="6" max="7" width="10.5" customWidth="1"/>
    <col min="8" max="8" width="2.6796875" customWidth="1"/>
    <col min="9" max="9" width="9.6796875" customWidth="1"/>
    <col min="10" max="10" width="2.6796875" customWidth="1"/>
    <col min="11" max="11" width="9.6796875" customWidth="1"/>
    <col min="12" max="12" width="2.6796875" customWidth="1"/>
    <col min="13" max="13" width="10.31640625" customWidth="1"/>
    <col min="14" max="14" width="2.6796875" customWidth="1"/>
    <col min="15" max="15" width="13.6796875" customWidth="1"/>
    <col min="16" max="16" width="10.5" customWidth="1"/>
    <col min="17" max="17" width="10.31640625" customWidth="1"/>
    <col min="18" max="18" width="2.6796875" customWidth="1"/>
    <col min="19" max="20" width="10.5" bestFit="1" customWidth="1"/>
    <col min="21" max="21" width="10.6796875" customWidth="1"/>
    <col min="22" max="23" width="9.1796875" customWidth="1"/>
  </cols>
  <sheetData>
    <row r="1" spans="1:25" s="33" customFormat="1" ht="18.75" thickBot="1">
      <c r="A1" s="89"/>
      <c r="B1" s="332" t="str">
        <f>Name&amp;" Parity Checking "</f>
        <v xml:space="preserve">Chubb Corporation Parity Checking </v>
      </c>
      <c r="C1" s="333"/>
      <c r="D1" s="333"/>
      <c r="E1" s="333"/>
      <c r="F1" s="333"/>
      <c r="G1" s="333"/>
      <c r="H1" s="333"/>
      <c r="I1" s="333"/>
      <c r="J1" s="333"/>
      <c r="K1" s="333"/>
      <c r="L1" s="333"/>
      <c r="M1" s="333"/>
      <c r="N1" s="333"/>
      <c r="O1" s="333"/>
      <c r="P1" s="333"/>
      <c r="Q1" s="333"/>
      <c r="R1" s="333"/>
      <c r="S1" s="333"/>
      <c r="T1" s="333"/>
      <c r="U1" s="333"/>
      <c r="V1" s="333"/>
      <c r="W1" s="333"/>
      <c r="X1"/>
    </row>
    <row r="2" spans="1:25" s="33" customFormat="1">
      <c r="A2" s="89"/>
      <c r="B2" s="55" t="str">
        <f>Subheader</f>
        <v>Dollars in millions, except per share</v>
      </c>
      <c r="C2" s="334"/>
      <c r="D2" s="334"/>
      <c r="E2" s="334"/>
      <c r="F2" s="334"/>
      <c r="G2" s="334"/>
      <c r="H2" s="334"/>
      <c r="I2" s="334"/>
      <c r="J2" s="334"/>
      <c r="K2" s="334"/>
      <c r="L2" s="334"/>
      <c r="M2" s="334"/>
      <c r="N2" s="334"/>
      <c r="O2" s="334"/>
      <c r="P2" s="334"/>
      <c r="Q2" s="334"/>
      <c r="R2" s="334"/>
      <c r="S2" s="334"/>
      <c r="T2" s="334"/>
      <c r="U2" s="334"/>
      <c r="V2" s="334"/>
      <c r="W2" s="334"/>
      <c r="X2"/>
    </row>
    <row r="3" spans="1:25" s="33" customFormat="1">
      <c r="A3" s="89"/>
      <c r="B3" s="333"/>
      <c r="C3" s="333"/>
      <c r="D3" s="333"/>
      <c r="E3" s="333"/>
      <c r="F3" s="333"/>
      <c r="G3" s="333"/>
      <c r="H3" s="333"/>
      <c r="I3" s="333"/>
      <c r="J3" s="333"/>
      <c r="K3" s="333"/>
      <c r="L3" s="411"/>
      <c r="M3" s="333"/>
      <c r="N3" s="333"/>
      <c r="P3" s="333"/>
      <c r="Q3" s="333"/>
      <c r="R3" s="333"/>
      <c r="S3" s="333"/>
    </row>
    <row r="4" spans="1:25" s="33" customFormat="1" ht="15.5">
      <c r="A4" s="89"/>
      <c r="B4" s="35" t="s">
        <v>222</v>
      </c>
      <c r="C4" s="333"/>
      <c r="D4" s="333"/>
      <c r="E4" s="333"/>
      <c r="F4" s="129" t="s">
        <v>223</v>
      </c>
      <c r="G4" s="129"/>
      <c r="H4" s="129"/>
      <c r="I4" s="333"/>
      <c r="J4" s="129"/>
      <c r="K4" s="335" t="s">
        <v>224</v>
      </c>
      <c r="L4" s="412"/>
      <c r="M4" s="333"/>
      <c r="N4" s="333"/>
      <c r="O4" s="336" t="str">
        <f>"Reconciliations for FYE "&amp;$B$5</f>
        <v>Reconciliations for FYE 2010</v>
      </c>
      <c r="P4" s="333"/>
      <c r="Q4" s="333"/>
      <c r="R4" s="333"/>
      <c r="S4" s="333"/>
      <c r="T4" s="333"/>
      <c r="U4" s="333"/>
      <c r="V4" s="333"/>
      <c r="W4" s="333"/>
      <c r="X4" s="333"/>
      <c r="Y4" s="333"/>
    </row>
    <row r="5" spans="1:25" s="33" customFormat="1">
      <c r="A5" s="89" t="s">
        <v>118</v>
      </c>
      <c r="B5" s="337">
        <v>2010</v>
      </c>
      <c r="C5" s="338" t="e">
        <f>IF(ROUND($G$32,3)&lt;&gt;0,"Out of parity by "&amp;TEXT($G$32,"#,##0.000"),"You are in parity")</f>
        <v>#REF!</v>
      </c>
      <c r="D5" s="35"/>
      <c r="E5" s="333"/>
      <c r="F5" s="339">
        <f>B5-1</f>
        <v>2009</v>
      </c>
      <c r="G5" s="339">
        <f>B5</f>
        <v>2010</v>
      </c>
      <c r="H5" s="340"/>
      <c r="I5" s="340" t="s">
        <v>225</v>
      </c>
      <c r="J5" s="340"/>
      <c r="K5" s="339">
        <f>B5</f>
        <v>2010</v>
      </c>
      <c r="L5" s="413"/>
      <c r="M5" s="335" t="s">
        <v>198</v>
      </c>
      <c r="N5" s="340"/>
      <c r="O5"/>
      <c r="P5"/>
      <c r="Q5"/>
      <c r="R5"/>
      <c r="S5"/>
      <c r="T5"/>
      <c r="U5"/>
      <c r="V5"/>
      <c r="W5"/>
      <c r="X5"/>
      <c r="Y5"/>
    </row>
    <row r="6" spans="1:25" s="33" customFormat="1">
      <c r="A6" s="89"/>
      <c r="B6" s="333"/>
      <c r="C6" s="333"/>
      <c r="D6" s="333"/>
      <c r="E6" s="333"/>
      <c r="F6" s="341"/>
      <c r="G6" s="341"/>
      <c r="H6" s="340"/>
      <c r="I6" s="342"/>
      <c r="J6" s="340"/>
      <c r="K6" s="341"/>
      <c r="L6" s="414"/>
      <c r="M6" s="393"/>
      <c r="N6" s="411"/>
      <c r="O6" s="394" t="str">
        <f>B13</f>
        <v>Investments</v>
      </c>
      <c r="P6" s="8"/>
      <c r="Q6"/>
    </row>
    <row r="7" spans="1:25" s="33" customFormat="1">
      <c r="A7" s="89"/>
      <c r="B7" s="343" t="str">
        <f>BS!B7</f>
        <v>S/T Investments</v>
      </c>
      <c r="C7" s="343"/>
      <c r="D7" s="343"/>
      <c r="E7" s="343"/>
      <c r="F7" s="344">
        <f>LOOKUP($F$5,BS!$I$5:$P$5,BS!I7:P7)</f>
        <v>1918</v>
      </c>
      <c r="G7" s="344">
        <f>LOOKUP($G$5,BS!$I$5:$P$5,BS!I7:P7)</f>
        <v>2046</v>
      </c>
      <c r="H7" s="344"/>
      <c r="I7" s="345">
        <f>G7-F7</f>
        <v>128</v>
      </c>
      <c r="J7" s="344"/>
      <c r="K7" s="344" t="e">
        <f>LOOKUP($G$5,cf!$L$5:$P$5,cf!L30:P30)</f>
        <v>#N/A</v>
      </c>
      <c r="L7" s="344"/>
      <c r="M7" s="395" t="e">
        <f>IF(ABS(I7-K7)&lt;0.001,0,I7-K7)</f>
        <v>#N/A</v>
      </c>
      <c r="N7" s="395"/>
      <c r="O7" s="396" t="s">
        <v>223</v>
      </c>
      <c r="P7" s="397"/>
      <c r="Q7" s="398"/>
      <c r="S7" s="396" t="s">
        <v>224</v>
      </c>
      <c r="T7" s="397"/>
      <c r="U7" s="398"/>
    </row>
    <row r="8" spans="1:25" s="33" customFormat="1">
      <c r="A8" s="89"/>
      <c r="B8" s="343" t="str">
        <f>BS!B8</f>
        <v>Cash</v>
      </c>
      <c r="C8" s="343"/>
      <c r="D8" s="343"/>
      <c r="E8" s="343"/>
      <c r="F8" s="346">
        <f>LOOKUP($F$5,BS!$I$5:$P$5,BS!I8:P8)</f>
        <v>51</v>
      </c>
      <c r="G8" s="346">
        <f>LOOKUP($G$5,BS!$I$5:$P$5,BS!I8:P8)</f>
        <v>77</v>
      </c>
      <c r="H8" s="346"/>
      <c r="I8" s="347">
        <f>F8-G8</f>
        <v>-26</v>
      </c>
      <c r="J8" s="346"/>
      <c r="K8" s="344"/>
      <c r="L8" s="344"/>
      <c r="M8" s="395"/>
      <c r="N8" s="395"/>
      <c r="O8" s="399" t="s">
        <v>229</v>
      </c>
      <c r="P8" s="400" t="s">
        <v>230</v>
      </c>
      <c r="Q8" s="107" t="s">
        <v>225</v>
      </c>
      <c r="S8" s="130" t="s">
        <v>231</v>
      </c>
      <c r="T8" s="130" t="s">
        <v>221</v>
      </c>
      <c r="U8" s="401" t="s">
        <v>232</v>
      </c>
    </row>
    <row r="9" spans="1:25" s="33" customFormat="1">
      <c r="A9" s="89"/>
      <c r="B9" s="343" t="str">
        <f>BS!B9</f>
        <v>Premiums Receivable</v>
      </c>
      <c r="C9" s="343"/>
      <c r="D9" s="343"/>
      <c r="E9" s="343"/>
      <c r="F9" s="346">
        <f>LOOKUP($F$5,BS!$I$5:$P$5,BS!I9:P9)</f>
        <v>2101</v>
      </c>
      <c r="G9" s="346">
        <f>LOOKUP($G$5,BS!$I$5:$P$5,BS!I9:P9)</f>
        <v>1974</v>
      </c>
      <c r="H9" s="346"/>
      <c r="I9" s="348">
        <f>F9-G9</f>
        <v>127</v>
      </c>
      <c r="J9" s="346"/>
      <c r="K9" s="344"/>
      <c r="L9" s="344"/>
      <c r="M9" s="395"/>
      <c r="N9" s="395"/>
      <c r="O9" s="402">
        <f>LOOKUP($F$5,BS!$I$5:$P$5,BS!$I13:$P13)</f>
        <v>40086</v>
      </c>
      <c r="P9" s="402">
        <f>LOOKUP($G$5,BS!$I$5:$P$5,BS!$I13:$P13)</f>
        <v>40167</v>
      </c>
      <c r="Q9" s="403">
        <f>O9-P9</f>
        <v>-81</v>
      </c>
      <c r="S9" s="402" t="e">
        <f>LOOKUP($G$5,cf!$L$5:$P$5,cf!$L9:$P9)</f>
        <v>#N/A</v>
      </c>
      <c r="T9" s="402" t="e">
        <f>LOOKUP($G$5,cf!$L$5:$P$5,cf!$L15:$P15)</f>
        <v>#N/A</v>
      </c>
      <c r="U9" s="403" t="e">
        <f>SUM(S9:T9)</f>
        <v>#N/A</v>
      </c>
    </row>
    <row r="10" spans="1:25" s="33" customFormat="1">
      <c r="A10" s="89"/>
      <c r="B10" s="343" t="str">
        <f>BS!B10</f>
        <v>Other Assets</v>
      </c>
      <c r="C10" s="343"/>
      <c r="D10" s="343"/>
      <c r="E10" s="343"/>
      <c r="F10" s="346">
        <f>LOOKUP($F$5,BS!$I$5:$P$5,BS!I10:P10)</f>
        <v>1200</v>
      </c>
      <c r="G10" s="346">
        <f>LOOKUP($G$5,BS!$I$5:$P$5,BS!I10:P10)</f>
        <v>1282</v>
      </c>
      <c r="H10" s="346"/>
      <c r="I10" s="349">
        <f>F10-G10</f>
        <v>-82</v>
      </c>
      <c r="J10" s="346"/>
      <c r="K10" s="344"/>
      <c r="L10" s="344"/>
      <c r="M10" s="395"/>
      <c r="N10" s="395"/>
      <c r="O10" s="376"/>
      <c r="P10"/>
      <c r="Q10"/>
      <c r="S10" s="333"/>
    </row>
    <row r="11" spans="1:25" s="33" customFormat="1">
      <c r="A11" s="89"/>
      <c r="C11" s="343"/>
      <c r="D11" s="343"/>
      <c r="E11" s="343"/>
      <c r="F11" s="346"/>
      <c r="H11" s="350" t="s">
        <v>242</v>
      </c>
      <c r="I11" s="351">
        <f>SUM(I8:I10)</f>
        <v>19</v>
      </c>
      <c r="J11" s="346"/>
      <c r="K11"/>
      <c r="L11" s="13"/>
      <c r="M11" s="404"/>
      <c r="N11" s="404"/>
      <c r="O11" s="394" t="str">
        <f>B14</f>
        <v>Reinsurance Recoverable*</v>
      </c>
      <c r="P11" s="8"/>
      <c r="Q11"/>
    </row>
    <row r="12" spans="1:25" s="33" customFormat="1">
      <c r="A12" s="89"/>
      <c r="B12" s="343"/>
      <c r="C12" s="343"/>
      <c r="D12" s="343"/>
      <c r="E12" s="343"/>
      <c r="F12" s="346"/>
      <c r="G12" s="346"/>
      <c r="H12" s="346"/>
      <c r="I12" s="352"/>
      <c r="J12" s="346"/>
      <c r="K12" s="346"/>
      <c r="L12" s="344"/>
      <c r="M12" s="395"/>
      <c r="N12" s="395"/>
      <c r="O12" s="396" t="s">
        <v>223</v>
      </c>
      <c r="P12" s="397"/>
      <c r="Q12" s="398"/>
      <c r="S12" s="396" t="s">
        <v>224</v>
      </c>
      <c r="T12" s="397"/>
      <c r="U12" s="398"/>
    </row>
    <row r="13" spans="1:25" s="33" customFormat="1">
      <c r="A13" s="89"/>
      <c r="B13" s="343" t="str">
        <f>BS!B13</f>
        <v>Investments</v>
      </c>
      <c r="C13" s="343"/>
      <c r="D13" s="343"/>
      <c r="E13" s="343"/>
      <c r="F13" s="346">
        <f>LOOKUP($F$5,BS!$I$5:$P$5,BS!I13:P13)</f>
        <v>40086</v>
      </c>
      <c r="G13" s="346">
        <f>LOOKUP($G$5,BS!$I$5:$P$5,BS!I13:P13)</f>
        <v>40167</v>
      </c>
      <c r="H13" s="346"/>
      <c r="I13" s="352">
        <f>F13-G13</f>
        <v>-81</v>
      </c>
      <c r="J13" s="346"/>
      <c r="K13" s="352" t="e">
        <f>U9</f>
        <v>#N/A</v>
      </c>
      <c r="L13" s="345"/>
      <c r="M13" s="395" t="e">
        <f>IF(ABS(I13-K13)&lt;0.001,0,I13-K13)</f>
        <v>#N/A</v>
      </c>
      <c r="N13" s="395"/>
      <c r="O13" s="399" t="s">
        <v>229</v>
      </c>
      <c r="P13" s="400" t="s">
        <v>230</v>
      </c>
      <c r="Q13" s="107" t="s">
        <v>225</v>
      </c>
      <c r="S13" s="130" t="s">
        <v>233</v>
      </c>
      <c r="T13" s="130" t="s">
        <v>234</v>
      </c>
      <c r="U13" s="401" t="s">
        <v>232</v>
      </c>
    </row>
    <row r="14" spans="1:25" s="33" customFormat="1">
      <c r="A14" s="89"/>
      <c r="B14" s="343" t="str">
        <f>BS!B14</f>
        <v>Reinsurance Recoverable*</v>
      </c>
      <c r="C14" s="343"/>
      <c r="D14" s="343"/>
      <c r="E14" s="343"/>
      <c r="F14" s="346">
        <f>LOOKUP($F$5,BS!$I$5:$P$5,BS!I14:P14)</f>
        <v>2053</v>
      </c>
      <c r="G14" s="346">
        <f>LOOKUP($G$5,BS!$I$5:$P$5,BS!I14:P14)</f>
        <v>1896</v>
      </c>
      <c r="H14" s="346"/>
      <c r="I14" s="352">
        <f>F14-G14</f>
        <v>157</v>
      </c>
      <c r="J14" s="346"/>
      <c r="K14" s="352" t="e">
        <f>U14</f>
        <v>#N/A</v>
      </c>
      <c r="L14" s="345"/>
      <c r="M14" s="395" t="e">
        <f>IF(ABS(I14-K14)&lt;0.001,0,I14-K14)</f>
        <v>#N/A</v>
      </c>
      <c r="N14" s="395"/>
      <c r="O14" s="402">
        <f>LOOKUP($F$5,BS!$I$5:$P$5,BS!$I14:$P14)</f>
        <v>2053</v>
      </c>
      <c r="P14" s="402">
        <f>LOOKUP($G$5,BS!$I$5:$P$5,BS!$I14:$P14)</f>
        <v>1896</v>
      </c>
      <c r="Q14" s="403">
        <f>O14-P14</f>
        <v>157</v>
      </c>
      <c r="S14" s="402" t="e">
        <f>LOOKUP($G$5,cf!$L$5:$P$5,cf!$L10:$P10)</f>
        <v>#N/A</v>
      </c>
      <c r="T14" s="402" t="e">
        <f>LOOKUP($G$5,cf!$L$5:$P$5,cf!$L16:$P16)</f>
        <v>#N/A</v>
      </c>
      <c r="U14" s="403" t="e">
        <f>SUM(S14:T14)</f>
        <v>#N/A</v>
      </c>
    </row>
    <row r="15" spans="1:25" s="33" customFormat="1">
      <c r="A15" s="89"/>
      <c r="B15" s="353" t="str">
        <f>BS!B15</f>
        <v>Investment Associated F.A.</v>
      </c>
      <c r="C15" s="343"/>
      <c r="D15" s="343"/>
      <c r="E15" s="343"/>
      <c r="F15" s="346">
        <f>LOOKUP($F$5,BS!$I$5:$P$5,BS!I15:P15)</f>
        <v>460</v>
      </c>
      <c r="G15" s="346">
        <f>LOOKUP($G$5,BS!$I$5:$P$5,BS!I15:P15)</f>
        <v>452</v>
      </c>
      <c r="H15" s="346"/>
      <c r="I15" s="352">
        <f>F15-G15</f>
        <v>8</v>
      </c>
      <c r="J15" s="346"/>
      <c r="K15" s="344" t="e">
        <f>LOOKUP($G$5,cf!$L$5:$P$5,other!$L$11:$P$11)</f>
        <v>#N/A</v>
      </c>
      <c r="L15" s="344"/>
      <c r="M15" s="395" t="e">
        <f>IF(ABS(I15-K15)&lt;0.001,0,I15-K15)</f>
        <v>#N/A</v>
      </c>
      <c r="N15" s="395"/>
      <c r="O15" s="376"/>
      <c r="P15"/>
      <c r="Q15"/>
      <c r="S15" s="333"/>
    </row>
    <row r="16" spans="1:25" s="33" customFormat="1">
      <c r="A16" s="89"/>
      <c r="B16" s="343" t="str">
        <f>BS!B16</f>
        <v>Other F.A.</v>
      </c>
      <c r="C16" s="343"/>
      <c r="D16" s="343"/>
      <c r="E16" s="343"/>
      <c r="F16" s="346">
        <f>LOOKUP($F$5,BS!$I$5:$P$5,BS!I16:P16)</f>
        <v>2580</v>
      </c>
      <c r="G16" s="346">
        <f>LOOKUP($G$5,BS!$I$5:$P$5,BS!I16:P16)</f>
        <v>2349</v>
      </c>
      <c r="H16" s="346"/>
      <c r="I16" s="352">
        <f>F16-G16</f>
        <v>231</v>
      </c>
      <c r="J16" s="346"/>
      <c r="K16" s="344" t="e">
        <f>LOOKUP($G$5,cf!$L$5:$P$5,other!$L$11:$P$11)</f>
        <v>#N/A</v>
      </c>
      <c r="L16" s="344"/>
      <c r="M16" s="395" t="e">
        <f>IF(ABS(I16-K16)&lt;0.001,0,I16-K16)</f>
        <v>#N/A</v>
      </c>
      <c r="N16" s="395"/>
      <c r="O16" s="394" t="str">
        <f>B29</f>
        <v xml:space="preserve">Long-term debt </v>
      </c>
      <c r="P16" s="8"/>
      <c r="Q16"/>
    </row>
    <row r="17" spans="1:25" s="33" customFormat="1">
      <c r="A17" s="89"/>
      <c r="B17" s="354" t="e">
        <f>BS!#REF!</f>
        <v>#REF!</v>
      </c>
      <c r="C17" s="354"/>
      <c r="D17" s="354"/>
      <c r="E17" s="354"/>
      <c r="F17" s="344" t="e">
        <f>LOOKUP($F$5,BS!$I$5:$P$5,BS!#REF!)</f>
        <v>#REF!</v>
      </c>
      <c r="G17" s="344" t="e">
        <f>LOOKUP($G$5,BS!$I$5:$P$5,BS!#REF!)</f>
        <v>#REF!</v>
      </c>
      <c r="H17" s="344"/>
      <c r="I17" s="345" t="e">
        <f>F17-G17</f>
        <v>#REF!</v>
      </c>
      <c r="J17" s="344"/>
      <c r="K17" s="344" t="e">
        <f>LOOKUP($G$5,cf!$L$5:$P$5,other!$L$11:$P$11)</f>
        <v>#N/A</v>
      </c>
      <c r="L17" s="344"/>
      <c r="M17" s="395" t="e">
        <f>IF(ABS(I17-K17)&lt;0.001,0,I17-K17)</f>
        <v>#REF!</v>
      </c>
      <c r="N17" s="395"/>
      <c r="O17" s="396" t="s">
        <v>223</v>
      </c>
      <c r="P17" s="397"/>
      <c r="Q17" s="398"/>
      <c r="S17" s="396" t="s">
        <v>224</v>
      </c>
      <c r="T17" s="397"/>
      <c r="U17" s="398"/>
    </row>
    <row r="18" spans="1:25" s="33" customFormat="1">
      <c r="A18" s="89"/>
      <c r="B18" s="365"/>
      <c r="C18" s="354"/>
      <c r="D18" s="354"/>
      <c r="E18" s="354"/>
      <c r="F18" s="344"/>
      <c r="G18" s="344"/>
      <c r="H18" s="344"/>
      <c r="I18" s="345"/>
      <c r="J18" s="344"/>
      <c r="K18" s="344"/>
      <c r="L18" s="344"/>
      <c r="M18" s="395"/>
      <c r="N18" s="404"/>
      <c r="O18" s="399" t="s">
        <v>229</v>
      </c>
      <c r="P18" s="400" t="s">
        <v>230</v>
      </c>
      <c r="Q18" s="107" t="s">
        <v>225</v>
      </c>
      <c r="S18" s="130" t="s">
        <v>209</v>
      </c>
      <c r="T18" s="130" t="s">
        <v>235</v>
      </c>
      <c r="U18" s="401" t="s">
        <v>232</v>
      </c>
    </row>
    <row r="19" spans="1:25" s="33" customFormat="1">
      <c r="A19" s="89"/>
      <c r="B19" s="343"/>
      <c r="C19" s="343"/>
      <c r="D19" s="343"/>
      <c r="E19" s="343"/>
      <c r="F19" s="346"/>
      <c r="G19" s="346"/>
      <c r="H19" s="346"/>
      <c r="I19" s="352"/>
      <c r="J19" s="346"/>
      <c r="K19" s="355"/>
      <c r="L19" s="180"/>
      <c r="M19" s="395"/>
      <c r="N19" s="395"/>
      <c r="O19" s="402">
        <f>LOOKUP($F$5,BS!$I$5:$P$5,BS!I25:P25)</f>
        <v>3975</v>
      </c>
      <c r="P19" s="402">
        <f>LOOKUP($G$5,BS!$I$5:$P$5,BS!I25:P25)</f>
        <v>3975</v>
      </c>
      <c r="Q19" s="403">
        <f>P19-O19</f>
        <v>0</v>
      </c>
      <c r="S19" s="402" t="e">
        <f>LOOKUP($G$5,cf!$L$5:$P$5,cf!L23:P23)</f>
        <v>#N/A</v>
      </c>
      <c r="T19" s="402" t="e">
        <f>LOOKUP($G$5,cf!$L$5:$P$5,cf!L24:P24)</f>
        <v>#N/A</v>
      </c>
      <c r="U19" s="403" t="e">
        <f>SUM(S19:T19)</f>
        <v>#N/A</v>
      </c>
    </row>
    <row r="20" spans="1:25" s="33" customFormat="1">
      <c r="A20" s="89"/>
      <c r="B20" s="343" t="str">
        <f>BS!B19</f>
        <v>Unpaid Losses and Loss Expenses</v>
      </c>
      <c r="C20" s="343"/>
      <c r="D20" s="343"/>
      <c r="E20" s="343"/>
      <c r="F20" s="346">
        <f>LOOKUP($F$5,BS!$I$5:$P$5,BS!I19:P19)</f>
        <v>22839</v>
      </c>
      <c r="G20" s="346">
        <f>LOOKUP($G$5,BS!$I$5:$P$5,BS!I19:P19)</f>
        <v>22755</v>
      </c>
      <c r="H20" s="346"/>
      <c r="I20" s="347">
        <f>G20-F20</f>
        <v>-84</v>
      </c>
      <c r="J20" s="346"/>
      <c r="K20" s="344"/>
      <c r="L20" s="344"/>
      <c r="M20" s="395"/>
      <c r="N20" s="395"/>
      <c r="O20" s="376"/>
      <c r="P20"/>
      <c r="Q20"/>
      <c r="S20" s="333"/>
    </row>
    <row r="21" spans="1:25" s="33" customFormat="1">
      <c r="A21" s="89"/>
      <c r="B21" s="343" t="str">
        <f>BS!B20</f>
        <v>Unearned Premiums</v>
      </c>
      <c r="C21" s="343"/>
      <c r="D21" s="343"/>
      <c r="E21" s="343"/>
      <c r="F21" s="346">
        <f>LOOKUP($F$5,BS!$I$5:$P$5,BS!I20:P20)</f>
        <v>6153</v>
      </c>
      <c r="G21" s="346">
        <f>LOOKUP($G$5,BS!$I$5:$P$5,BS!I20:P20)</f>
        <v>6133</v>
      </c>
      <c r="H21" s="346"/>
      <c r="I21" s="348">
        <f>G21-F21</f>
        <v>-20</v>
      </c>
      <c r="J21" s="346"/>
      <c r="K21" s="344"/>
      <c r="L21" s="344"/>
      <c r="M21" s="395"/>
      <c r="N21" s="395"/>
      <c r="O21" s="394" t="str">
        <f>B31</f>
        <v>Total equity</v>
      </c>
      <c r="P21" s="8"/>
      <c r="Q21"/>
      <c r="S21" s="333"/>
    </row>
    <row r="22" spans="1:25" s="33" customFormat="1">
      <c r="A22" s="89"/>
      <c r="B22" s="343" t="str">
        <f>BS!B21</f>
        <v>Other current liabilities</v>
      </c>
      <c r="F22" s="346">
        <f>LOOKUP($F$5,BS!$I$5:$P$5,BS!I21:P21)</f>
        <v>1848</v>
      </c>
      <c r="G22" s="346">
        <f>LOOKUP($G$5,BS!$I$5:$P$5,BS!I21:P21)</f>
        <v>1253</v>
      </c>
      <c r="I22" s="349">
        <f>G22-F22</f>
        <v>-595</v>
      </c>
      <c r="J22" s="346"/>
      <c r="K22" s="344"/>
      <c r="L22" s="344"/>
      <c r="M22" s="404"/>
      <c r="N22" s="404"/>
      <c r="O22" s="396" t="s">
        <v>223</v>
      </c>
      <c r="P22" s="397"/>
      <c r="Q22" s="398"/>
      <c r="S22" s="396" t="s">
        <v>224</v>
      </c>
      <c r="T22" s="397"/>
      <c r="U22" s="398"/>
      <c r="V22" s="405"/>
      <c r="W22" s="405"/>
      <c r="X22" s="406"/>
    </row>
    <row r="23" spans="1:25" s="33" customFormat="1">
      <c r="A23" s="89"/>
      <c r="B23" s="343"/>
      <c r="C23" s="343"/>
      <c r="D23" s="343"/>
      <c r="E23" s="343"/>
      <c r="F23" s="346"/>
      <c r="J23" s="346"/>
      <c r="K23" s="344"/>
      <c r="L23" s="344"/>
      <c r="M23" s="404"/>
      <c r="N23" s="404"/>
      <c r="O23" s="399" t="s">
        <v>229</v>
      </c>
      <c r="P23" s="400" t="s">
        <v>230</v>
      </c>
      <c r="Q23" s="107" t="s">
        <v>225</v>
      </c>
      <c r="S23" s="407" t="s">
        <v>236</v>
      </c>
      <c r="T23" s="130" t="s">
        <v>23</v>
      </c>
      <c r="U23" s="130" t="s">
        <v>237</v>
      </c>
      <c r="V23" s="130" t="s">
        <v>238</v>
      </c>
      <c r="W23" s="130" t="s">
        <v>239</v>
      </c>
      <c r="X23" s="129" t="s">
        <v>232</v>
      </c>
    </row>
    <row r="24" spans="1:25" s="33" customFormat="1">
      <c r="A24" s="89"/>
      <c r="B24" s="423" t="s">
        <v>226</v>
      </c>
      <c r="C24" s="343"/>
      <c r="D24" s="343"/>
      <c r="E24" s="343"/>
      <c r="F24" s="346"/>
      <c r="H24" s="350" t="s">
        <v>242</v>
      </c>
      <c r="I24" s="358">
        <f>I11</f>
        <v>19</v>
      </c>
      <c r="J24" s="346"/>
      <c r="L24" s="34"/>
      <c r="M24" s="404"/>
      <c r="N24" s="395"/>
      <c r="O24" s="408">
        <f>LOOKUP($F$5,BS!$I$5:$P$5,BS!I29:P29)</f>
        <v>15634</v>
      </c>
      <c r="P24" s="402">
        <f>LOOKUP($G$5,BS!$I$5:$P$5,BS!I29:P29)</f>
        <v>15979</v>
      </c>
      <c r="Q24" s="409">
        <f>P24-O24</f>
        <v>345</v>
      </c>
      <c r="S24" s="408" t="e">
        <f>LOOKUP($G$5,cf!$L$5:$P$5,cf!$L7:$P7)</f>
        <v>#N/A</v>
      </c>
      <c r="T24" s="402" t="e">
        <f>LOOKUP($G$5,cf!$L$5:$P$5,cf!$L26:$P26)</f>
        <v>#N/A</v>
      </c>
      <c r="U24" s="402" t="e">
        <f>LOOKUP($G$5,cf!$L$5:$P$5,cf!$L8:$P8)</f>
        <v>#N/A</v>
      </c>
      <c r="V24" s="402" t="e">
        <f>LOOKUP($G$5,cf!$L$5:$P$5,cf!$L25:$P25)</f>
        <v>#N/A</v>
      </c>
      <c r="W24" s="402" t="e">
        <f>LOOKUP($G$5,cf!$L$5:$P$5,cf!$L27:$P27)</f>
        <v>#N/A</v>
      </c>
      <c r="X24" s="409" t="e">
        <f>SUM(S24:W24)</f>
        <v>#N/A</v>
      </c>
    </row>
    <row r="25" spans="1:25" s="33" customFormat="1">
      <c r="A25" s="89"/>
      <c r="B25" s="356"/>
      <c r="C25" s="343"/>
      <c r="D25" s="343"/>
      <c r="E25" s="343"/>
      <c r="F25" s="346"/>
      <c r="H25" s="357" t="s">
        <v>243</v>
      </c>
      <c r="I25" s="358">
        <f>SUM(I20:I22)</f>
        <v>-699</v>
      </c>
      <c r="N25" s="395"/>
      <c r="O25" s="408"/>
      <c r="P25" s="402"/>
      <c r="Q25" s="409"/>
      <c r="S25" s="408"/>
      <c r="T25" s="402"/>
      <c r="U25" s="402"/>
      <c r="V25" s="402"/>
      <c r="W25" s="402"/>
      <c r="X25" s="409"/>
    </row>
    <row r="26" spans="1:25" s="33" customFormat="1">
      <c r="A26" s="89"/>
      <c r="B26" s="356"/>
      <c r="C26" s="343"/>
      <c r="D26" s="343"/>
      <c r="E26" s="343"/>
      <c r="F26" s="346"/>
      <c r="G26" s="359"/>
      <c r="H26" s="416" t="s">
        <v>244</v>
      </c>
      <c r="I26" s="360">
        <f>SUM(I24:I25)</f>
        <v>-680</v>
      </c>
      <c r="J26" s="346"/>
      <c r="K26" s="361" t="e">
        <f>LOOKUP($G$5,cf!$L$5:$P$5,cf!#REF!)</f>
        <v>#REF!</v>
      </c>
      <c r="L26" s="344"/>
      <c r="M26" s="395" t="e">
        <f>IF(ABS(I26-K26)&lt;0.001,0,I26-K26)</f>
        <v>#REF!</v>
      </c>
      <c r="N26" s="395"/>
      <c r="O26"/>
      <c r="P26"/>
      <c r="Q26"/>
    </row>
    <row r="27" spans="1:25" s="33" customFormat="1">
      <c r="A27" s="89"/>
      <c r="B27" s="356"/>
      <c r="C27" s="343"/>
      <c r="D27" s="343"/>
      <c r="E27" s="343"/>
      <c r="F27" s="346"/>
      <c r="G27" s="359"/>
      <c r="H27" s="416"/>
      <c r="I27" s="422"/>
      <c r="J27" s="346"/>
      <c r="K27" s="344"/>
      <c r="L27" s="344"/>
      <c r="M27" s="395"/>
      <c r="N27" s="395"/>
      <c r="O27"/>
      <c r="P27"/>
      <c r="Q27"/>
    </row>
    <row r="28" spans="1:25" s="33" customFormat="1">
      <c r="A28" s="89"/>
      <c r="B28" s="343" t="str">
        <f>BS!B24</f>
        <v>Revolver</v>
      </c>
      <c r="C28" s="343"/>
      <c r="D28" s="343"/>
      <c r="E28" s="343"/>
      <c r="F28" s="346">
        <f>LOOKUP($F$5,BS!$I$5:$P$5,BS!I24:P24)</f>
        <v>0</v>
      </c>
      <c r="G28" s="346">
        <f>LOOKUP($G$5,BS!$I$5:$P$5,BS!I24:P24)</f>
        <v>0</v>
      </c>
      <c r="H28" s="346"/>
      <c r="I28" s="352">
        <f>G28-F28</f>
        <v>0</v>
      </c>
      <c r="J28" s="346"/>
      <c r="K28" s="346" t="e">
        <f>LOOKUP($G$5,cf!$L$5:$P$5,cf!L22:P22)</f>
        <v>#N/A</v>
      </c>
      <c r="L28" s="344"/>
      <c r="M28" s="395" t="e">
        <f>IF(ABS(I28-K28)&lt;0.001,0,I28-K28)</f>
        <v>#N/A</v>
      </c>
      <c r="N28" s="395"/>
      <c r="O28" s="333"/>
      <c r="P28" s="333"/>
      <c r="Q28" s="333"/>
      <c r="R28" s="333"/>
      <c r="S28" s="333"/>
      <c r="T28" s="333"/>
      <c r="U28" s="333"/>
      <c r="V28" s="333"/>
      <c r="W28" s="333"/>
      <c r="X28" s="333"/>
      <c r="Y28" s="333"/>
    </row>
    <row r="29" spans="1:25" s="33" customFormat="1">
      <c r="A29" s="89"/>
      <c r="B29" s="343" t="str">
        <f>BS!B25</f>
        <v xml:space="preserve">Long-term debt </v>
      </c>
      <c r="C29" s="343"/>
      <c r="D29" s="343"/>
      <c r="E29" s="343"/>
      <c r="F29" s="346">
        <f>LOOKUP($F$5,BS!$I$5:$P$5,BS!I25:P25)</f>
        <v>3975</v>
      </c>
      <c r="G29" s="346">
        <f>LOOKUP($G$5,BS!$I$5:$P$5,BS!I25:P25)</f>
        <v>3975</v>
      </c>
      <c r="H29" s="346"/>
      <c r="I29" s="352">
        <f>G29-F29</f>
        <v>0</v>
      </c>
      <c r="J29" s="346"/>
      <c r="K29" s="352" t="e">
        <f>U19</f>
        <v>#N/A</v>
      </c>
      <c r="L29" s="344"/>
      <c r="M29" s="395" t="e">
        <f>IF(ABS(I29-K29)&lt;0.001,0,I29-K29)</f>
        <v>#N/A</v>
      </c>
      <c r="N29" s="404"/>
      <c r="O29" s="333"/>
      <c r="P29" s="333"/>
      <c r="Q29" s="333"/>
      <c r="R29" s="333"/>
      <c r="S29" s="333"/>
      <c r="T29" s="333"/>
      <c r="U29" s="333"/>
      <c r="V29" s="333"/>
      <c r="W29" s="333"/>
      <c r="X29" s="333"/>
      <c r="Y29" s="333"/>
    </row>
    <row r="30" spans="1:25" s="33" customFormat="1">
      <c r="A30" s="89"/>
      <c r="B30" s="343" t="str">
        <f>BS!B26</f>
        <v>Other long-term liabilities  (used as plug)</v>
      </c>
      <c r="C30" s="343"/>
      <c r="D30" s="343"/>
      <c r="E30" s="343"/>
      <c r="F30" s="346">
        <f>LOOKUP($F$5,BS!$I$5:$P$5,BS!I26:P26)</f>
        <v>0</v>
      </c>
      <c r="G30" s="346">
        <f>LOOKUP($G$5,BS!$I$5:$P$5,BS!I26:P26)</f>
        <v>148</v>
      </c>
      <c r="H30" s="346"/>
      <c r="I30" s="352">
        <f>G30-F30</f>
        <v>148</v>
      </c>
      <c r="J30" s="346"/>
      <c r="K30" s="344" t="e">
        <f>LOOKUP($G$5,cf!$L$5:$P$5,other!$L$16:$P$16)</f>
        <v>#N/A</v>
      </c>
      <c r="L30" s="344"/>
      <c r="M30" s="395" t="e">
        <f>IF(ABS(I30-K30)&lt;0.001,0,I30-K30)</f>
        <v>#N/A</v>
      </c>
      <c r="N30" s="410"/>
      <c r="O30"/>
      <c r="P30"/>
      <c r="Q30"/>
      <c r="R30"/>
    </row>
    <row r="31" spans="1:25" s="33" customFormat="1">
      <c r="A31" s="89"/>
      <c r="B31" s="343" t="str">
        <f>BS!B29</f>
        <v>Total equity</v>
      </c>
      <c r="C31" s="343"/>
      <c r="D31" s="343"/>
      <c r="E31" s="343"/>
      <c r="F31" s="346">
        <f>LOOKUP($F$5,BS!$I$5:$P$5,BS!I29:P29)</f>
        <v>15634</v>
      </c>
      <c r="G31" s="346">
        <f>LOOKUP($G$5,BS!$I$5:$P$5,BS!I29:P29)</f>
        <v>15979</v>
      </c>
      <c r="H31" s="346"/>
      <c r="I31" s="352">
        <f>G31-F31</f>
        <v>345</v>
      </c>
      <c r="J31" s="346"/>
      <c r="K31" s="352" t="e">
        <f>X24</f>
        <v>#N/A</v>
      </c>
      <c r="L31" s="345"/>
      <c r="M31" s="395" t="e">
        <f>IF(ABS(I31-K31)&lt;0.001,0,I31-K31)</f>
        <v>#N/A</v>
      </c>
      <c r="N31" s="410"/>
      <c r="O31"/>
      <c r="P31"/>
      <c r="Q31"/>
      <c r="R31"/>
      <c r="S31" s="340"/>
      <c r="T31"/>
      <c r="U31"/>
      <c r="V31"/>
      <c r="W31"/>
    </row>
    <row r="32" spans="1:25" s="33" customFormat="1">
      <c r="A32" s="89"/>
      <c r="B32" s="333"/>
      <c r="C32" s="333"/>
      <c r="D32" s="333"/>
      <c r="E32" s="362" t="s">
        <v>227</v>
      </c>
      <c r="F32" s="363" t="e">
        <f>ROUND(SUM(F7:F19)-SUM(F20:F31),3)</f>
        <v>#REF!</v>
      </c>
      <c r="G32" s="363" t="e">
        <f>ROUND(SUM(G7:G19)-SUM(G20:G31),3)</f>
        <v>#REF!</v>
      </c>
      <c r="H32" s="363"/>
      <c r="I32" s="363" t="e">
        <f>IF(ABS(SUM(I28:I31,I26,I13:I18,I7))&gt;0.001,SUM(I28:I31,I26,I13:I18,I7),0)</f>
        <v>#REF!</v>
      </c>
      <c r="J32" s="363"/>
      <c r="K32" s="363" t="e">
        <f>IF(ABS(SUM(K7:K31))&gt;0.001,SUM(K7:K31),0)</f>
        <v>#N/A</v>
      </c>
      <c r="L32" s="415"/>
      <c r="M32" s="410"/>
      <c r="N32" s="333"/>
      <c r="O32"/>
      <c r="P32"/>
      <c r="Q32"/>
      <c r="R32"/>
      <c r="S32" s="333"/>
      <c r="T32"/>
      <c r="U32"/>
      <c r="V32"/>
      <c r="W32"/>
    </row>
    <row r="33" spans="1:23" s="33" customFormat="1">
      <c r="A33" s="89"/>
      <c r="B33" s="333"/>
      <c r="C33" s="333"/>
      <c r="D33" s="333"/>
      <c r="E33" s="333"/>
      <c r="F33" s="364" t="e">
        <f>IF(AND(ROUND(I32,3)=ROUND(K32,3),F32&lt;&gt;G32),"Check your totals on your Cash Flow","")</f>
        <v>#REF!</v>
      </c>
      <c r="G33" s="352"/>
      <c r="H33" s="352"/>
      <c r="I33" s="352"/>
      <c r="J33" s="352"/>
      <c r="K33" s="352"/>
      <c r="L33" s="345"/>
      <c r="M33" s="333"/>
      <c r="N33" s="333"/>
      <c r="O33"/>
      <c r="P33"/>
      <c r="Q33"/>
      <c r="R33"/>
      <c r="S33" s="333"/>
      <c r="T33"/>
      <c r="U33"/>
      <c r="V33"/>
      <c r="W33"/>
    </row>
    <row r="34" spans="1:23" s="33" customFormat="1">
      <c r="A34" s="89" t="s">
        <v>118</v>
      </c>
      <c r="B34" s="333"/>
      <c r="C34" s="333"/>
      <c r="D34" s="333"/>
      <c r="E34" s="333"/>
      <c r="F34" s="364" t="e">
        <f>IF(ROUND(-G32,3)&lt;&gt;ROUND(LOOKUP($G$5,BS!$I$5:$P$5,BS!I32:P32),3),"Check your totals on your Balance Sheet","")</f>
        <v>#REF!</v>
      </c>
      <c r="G34" s="352"/>
      <c r="H34" s="352"/>
      <c r="I34"/>
      <c r="J34" s="352"/>
      <c r="K34" s="352"/>
      <c r="L34" s="345"/>
      <c r="M34" s="333"/>
      <c r="N34" s="333"/>
      <c r="O34"/>
      <c r="P34"/>
      <c r="Q34"/>
      <c r="R34"/>
      <c r="S34" s="333"/>
      <c r="T34"/>
      <c r="U34"/>
      <c r="V34"/>
      <c r="W34"/>
    </row>
    <row r="35" spans="1:23" s="33" customFormat="1">
      <c r="A35" s="89"/>
      <c r="B35" s="333"/>
      <c r="C35" s="333"/>
      <c r="D35" s="333"/>
      <c r="E35" s="333"/>
      <c r="F35" s="333"/>
      <c r="G35" s="333"/>
      <c r="H35" s="333"/>
      <c r="I35"/>
      <c r="J35" s="333"/>
      <c r="K35" s="333"/>
      <c r="L35" s="411"/>
      <c r="M35" s="333"/>
      <c r="R35" s="333"/>
      <c r="S35" s="333"/>
      <c r="T35"/>
      <c r="U35"/>
      <c r="V35"/>
      <c r="W35"/>
    </row>
    <row r="36" spans="1:23" s="33" customFormat="1">
      <c r="A36" s="89"/>
      <c r="L36" s="34"/>
      <c r="S36" s="333"/>
      <c r="T36"/>
      <c r="U36"/>
      <c r="V36"/>
      <c r="W36"/>
    </row>
    <row r="37" spans="1:23" s="33" customFormat="1">
      <c r="A37" s="89"/>
      <c r="L37" s="34"/>
      <c r="T37"/>
      <c r="U37"/>
      <c r="V37"/>
      <c r="W37"/>
    </row>
    <row r="38" spans="1:23" s="33" customFormat="1">
      <c r="A38" s="89" t="s">
        <v>118</v>
      </c>
      <c r="B38" s="88" t="s">
        <v>131</v>
      </c>
      <c r="L38" s="34"/>
      <c r="T38"/>
      <c r="U38"/>
      <c r="V38"/>
      <c r="W38"/>
    </row>
    <row r="39" spans="1:23" s="33" customFormat="1">
      <c r="A39" s="89"/>
      <c r="L39" s="34"/>
      <c r="T39"/>
      <c r="U39"/>
      <c r="V39"/>
      <c r="W39"/>
    </row>
    <row r="40" spans="1:23" s="33" customFormat="1">
      <c r="A40" s="89"/>
      <c r="L40" s="34"/>
      <c r="T40"/>
      <c r="U40"/>
      <c r="V40"/>
      <c r="W40"/>
    </row>
    <row r="41" spans="1:23" s="33" customFormat="1">
      <c r="A41" s="89"/>
      <c r="L41" s="34"/>
      <c r="T41"/>
      <c r="U41"/>
      <c r="V41"/>
      <c r="W41"/>
    </row>
  </sheetData>
  <customSheetViews>
    <customSheetView guid="{5A4827F7-D52D-44AD-B257-2AB13F875B96}" showGridLines="0" fitToPage="1" state="hidden">
      <pageMargins left="0.5" right="0.5" top="0.7" bottom="0.65" header="0.25" footer="0.25"/>
      <printOptions horizontalCentered="1"/>
      <pageSetup scale="66"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F32:G32">
    <cfRule type="cellIs" dxfId="2" priority="1" stopIfTrue="1" operator="greaterThan">
      <formula>0</formula>
    </cfRule>
  </conditionalFormatting>
  <conditionalFormatting sqref="M7:M24 N7:N29 M26:M31">
    <cfRule type="cellIs" dxfId="1" priority="2" stopIfTrue="1" operator="notEqual">
      <formula>0</formula>
    </cfRule>
  </conditionalFormatting>
  <printOptions horizontalCentered="1"/>
  <pageMargins left="0.5" right="0.5" top="0.7" bottom="0.65" header="0.25" footer="0.25"/>
  <pageSetup scale="66" orientation="landscape" r:id="rId2"/>
  <headerFooter alignWithMargins="0">
    <oddFooter>&amp;L&amp;8COPYRIGHT 2011 © by Training The Street, Inc&amp;C&amp;8&amp;G&amp;R&amp;8For training purposes only!</oddFooter>
  </headerFooter>
  <legacyDrawing r:id="rId3"/>
  <legacyDrawingHF r:id="rId4"/>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21">
    <pageSetUpPr fitToPage="1"/>
  </sheetPr>
  <dimension ref="A1:W115"/>
  <sheetViews>
    <sheetView showGridLines="0" workbookViewId="0"/>
  </sheetViews>
  <sheetFormatPr defaultColWidth="8.81640625" defaultRowHeight="13" customHeight="1" outlineLevelRow="1"/>
  <cols>
    <col min="1" max="1" width="1.6796875" style="484" customWidth="1"/>
    <col min="2" max="2" width="2.5" customWidth="1"/>
    <col min="3" max="3" width="1.6796875" customWidth="1"/>
    <col min="4" max="4" width="10.5" bestFit="1" customWidth="1"/>
    <col min="5" max="5" width="10.81640625" bestFit="1" customWidth="1"/>
    <col min="6" max="7" width="10.5" bestFit="1" customWidth="1"/>
    <col min="8" max="8" width="12.31640625" bestFit="1" customWidth="1"/>
    <col min="9" max="9" width="10.81640625" bestFit="1" customWidth="1"/>
    <col min="10" max="10" width="12.81640625" bestFit="1" customWidth="1"/>
    <col min="11" max="13" width="10.81640625" bestFit="1" customWidth="1"/>
    <col min="14" max="14" width="13" bestFit="1" customWidth="1"/>
    <col min="15" max="15" width="10.81640625" bestFit="1" customWidth="1"/>
    <col min="16" max="16" width="12.6796875" bestFit="1" customWidth="1"/>
    <col min="17" max="17" width="2.6796875" customWidth="1"/>
    <col min="18" max="18" width="11.6796875" bestFit="1" customWidth="1"/>
  </cols>
  <sheetData>
    <row r="1" spans="1:23" s="190" customFormat="1" ht="18.75" thickBot="1">
      <c r="A1" s="89"/>
      <c r="B1" s="187" t="str">
        <f>"Discounted Cash Flow Analysis for "&amp;Name</f>
        <v>Discounted Cash Flow Analysis for Chubb Corporation</v>
      </c>
      <c r="C1" s="187"/>
      <c r="D1" s="188"/>
      <c r="E1" s="189"/>
      <c r="F1" s="189"/>
      <c r="G1" s="189"/>
      <c r="H1" s="189"/>
      <c r="I1" s="189"/>
      <c r="J1" s="189"/>
      <c r="K1" s="189"/>
      <c r="L1" s="189"/>
      <c r="M1" s="189"/>
      <c r="N1" s="189"/>
      <c r="O1" s="189"/>
      <c r="P1" s="189"/>
      <c r="Q1" s="189"/>
      <c r="R1" s="189"/>
    </row>
    <row r="2" spans="1:23" s="225" customFormat="1">
      <c r="A2" s="89"/>
      <c r="B2" s="2" t="str">
        <f>Subheader</f>
        <v>Dollars in millions, except per share</v>
      </c>
      <c r="C2" s="2"/>
      <c r="D2" s="263"/>
      <c r="E2" s="264"/>
      <c r="F2" s="264"/>
      <c r="G2" s="264"/>
      <c r="H2" s="264"/>
      <c r="I2" s="264"/>
      <c r="J2" s="264"/>
      <c r="K2" s="264"/>
      <c r="L2" s="264"/>
      <c r="M2" s="264"/>
      <c r="N2" s="264"/>
      <c r="O2" s="214"/>
      <c r="P2" s="264"/>
      <c r="Q2" s="264"/>
      <c r="R2" s="264"/>
    </row>
    <row r="3" spans="1:23" s="225" customFormat="1">
      <c r="A3" s="89"/>
      <c r="B3" s="191"/>
      <c r="C3" s="191"/>
      <c r="D3" s="265"/>
      <c r="E3" s="194"/>
      <c r="F3" s="194"/>
      <c r="G3" s="194"/>
      <c r="H3" s="194"/>
      <c r="I3" s="194"/>
      <c r="J3" s="194"/>
      <c r="K3" s="194"/>
      <c r="L3" s="194"/>
      <c r="M3" s="194"/>
      <c r="N3" s="194"/>
      <c r="P3" s="194"/>
      <c r="Q3" s="194"/>
      <c r="R3" s="194"/>
    </row>
    <row r="4" spans="1:23" s="93" customFormat="1">
      <c r="A4" s="89"/>
      <c r="I4" s="266" t="str">
        <f>IS!$I$4</f>
        <v>Historical Year Ending December 31,</v>
      </c>
      <c r="J4" s="193"/>
      <c r="K4" s="193"/>
      <c r="L4" s="267" t="str">
        <f>IS!$L$4</f>
        <v>Projected Year Ending December 31,</v>
      </c>
      <c r="M4" s="268"/>
      <c r="N4" s="268"/>
      <c r="O4" s="268"/>
      <c r="P4" s="269"/>
      <c r="R4" s="270" t="str">
        <f>K5&amp;"-"&amp;P5</f>
        <v>2010-2015</v>
      </c>
      <c r="U4" s="225"/>
      <c r="V4" s="225"/>
      <c r="W4" s="225"/>
    </row>
    <row r="5" spans="1:23" s="93" customFormat="1">
      <c r="A5" s="89"/>
      <c r="I5" s="271">
        <f>IS!I$5</f>
        <v>2008</v>
      </c>
      <c r="J5" s="271">
        <f>IS!J$5</f>
        <v>2009</v>
      </c>
      <c r="K5" s="271">
        <f>IS!K$5</f>
        <v>2010</v>
      </c>
      <c r="L5" s="271">
        <f>IS!L$5</f>
        <v>2011</v>
      </c>
      <c r="M5" s="271">
        <f>IS!M$5</f>
        <v>2012</v>
      </c>
      <c r="N5" s="271">
        <f>IS!N$5</f>
        <v>2013</v>
      </c>
      <c r="O5" s="271">
        <f>IS!O$5</f>
        <v>2014</v>
      </c>
      <c r="P5" s="271">
        <f>IS!P$5</f>
        <v>2015</v>
      </c>
      <c r="R5" s="272" t="s">
        <v>189</v>
      </c>
      <c r="U5" s="225"/>
      <c r="V5" s="225"/>
      <c r="W5" s="225"/>
    </row>
    <row r="6" spans="1:23" s="93" customFormat="1" ht="5.25" customHeight="1">
      <c r="A6" s="89"/>
      <c r="R6" s="273"/>
      <c r="U6" s="225"/>
      <c r="V6" s="225"/>
      <c r="W6" s="225"/>
    </row>
    <row r="7" spans="1:23" s="93" customFormat="1">
      <c r="A7" s="89" t="s">
        <v>118</v>
      </c>
      <c r="B7" s="274" t="s">
        <v>190</v>
      </c>
      <c r="C7" s="274"/>
      <c r="D7" s="274"/>
      <c r="I7" s="195">
        <f>IS!I7</f>
        <v>11828</v>
      </c>
      <c r="J7" s="195">
        <f>IS!J7</f>
        <v>11331</v>
      </c>
      <c r="K7" s="195">
        <f>IS!K7</f>
        <v>11215</v>
      </c>
      <c r="L7" s="195">
        <f>IS!L7</f>
        <v>11215</v>
      </c>
      <c r="M7" s="195">
        <f>IS!M7</f>
        <v>11775.75</v>
      </c>
      <c r="N7" s="195">
        <f>IS!N7</f>
        <v>12011.264999999999</v>
      </c>
      <c r="O7" s="195">
        <f>IS!O7</f>
        <v>12251.490299999999</v>
      </c>
      <c r="P7" s="195">
        <f>IS!P7</f>
        <v>12496.520106</v>
      </c>
      <c r="R7" s="275">
        <f>RATE(P$5-K$5,0,-K7,P7)</f>
        <v>2.1875443604324394E-2</v>
      </c>
      <c r="U7" s="225"/>
      <c r="V7" s="225"/>
      <c r="W7" s="225"/>
    </row>
    <row r="8" spans="1:23" s="93" customFormat="1" ht="5.25" customHeight="1">
      <c r="A8" s="89"/>
      <c r="B8" s="274"/>
      <c r="C8" s="274"/>
      <c r="D8" s="274"/>
      <c r="I8" s="197"/>
      <c r="J8" s="197"/>
      <c r="K8" s="197"/>
      <c r="L8" s="197"/>
      <c r="M8" s="197"/>
      <c r="N8" s="197"/>
      <c r="O8" s="197"/>
      <c r="P8" s="197"/>
      <c r="R8" s="275"/>
      <c r="U8" s="225"/>
      <c r="V8" s="225"/>
      <c r="W8" s="225"/>
    </row>
    <row r="9" spans="1:23" s="93" customFormat="1">
      <c r="A9" s="89"/>
      <c r="B9" s="274" t="s">
        <v>193</v>
      </c>
      <c r="C9" s="274"/>
      <c r="D9" s="274"/>
      <c r="I9" s="197">
        <f>IS!I15</f>
        <v>2647</v>
      </c>
      <c r="J9" s="197">
        <f>IS!J15</f>
        <v>3210</v>
      </c>
      <c r="K9" s="197">
        <f>IS!K15</f>
        <v>3228</v>
      </c>
      <c r="L9" s="197">
        <f>IS!L15</f>
        <v>2697.2000000000016</v>
      </c>
      <c r="M9" s="197">
        <f>IS!M15</f>
        <v>2832.0600000000004</v>
      </c>
      <c r="N9" s="197">
        <f>IS!N15</f>
        <v>2888.7012000000004</v>
      </c>
      <c r="O9" s="197">
        <f>IS!O15</f>
        <v>2946.4752240000016</v>
      </c>
      <c r="P9" s="197">
        <f>IS!P15</f>
        <v>3005.4047284800008</v>
      </c>
      <c r="R9" s="275">
        <f>RATE(P$5-K$5,0,-K9,P9)</f>
        <v>-1.4188482420659499E-2</v>
      </c>
      <c r="U9" s="225"/>
      <c r="V9" s="225"/>
      <c r="W9" s="225"/>
    </row>
    <row r="10" spans="1:23" s="93" customFormat="1">
      <c r="A10" s="89"/>
      <c r="B10" s="274" t="s">
        <v>140</v>
      </c>
      <c r="C10" s="274"/>
      <c r="D10" s="274"/>
      <c r="I10" s="197">
        <f>-Investments!I11</f>
        <v>-69</v>
      </c>
      <c r="J10" s="197">
        <f>-Investments!J11</f>
        <v>-64</v>
      </c>
      <c r="K10" s="197">
        <f>-Investments!K11</f>
        <v>-69</v>
      </c>
      <c r="L10" s="197">
        <f>-Investments!L11</f>
        <v>0</v>
      </c>
      <c r="M10" s="197">
        <f>-Investments!M11</f>
        <v>0</v>
      </c>
      <c r="N10" s="197">
        <f>-Investments!N11</f>
        <v>0</v>
      </c>
      <c r="O10" s="197">
        <f>-Investments!O11</f>
        <v>0</v>
      </c>
      <c r="P10" s="197">
        <f>-Investments!P11</f>
        <v>0</v>
      </c>
      <c r="R10" s="275"/>
      <c r="U10" s="225"/>
      <c r="V10" s="225"/>
      <c r="W10" s="225"/>
    </row>
    <row r="11" spans="1:23" s="93" customFormat="1">
      <c r="A11" s="89"/>
      <c r="B11" s="274" t="s">
        <v>141</v>
      </c>
      <c r="C11" s="274"/>
      <c r="D11" s="274"/>
      <c r="I11" s="198">
        <f>-amort!I11</f>
        <v>0</v>
      </c>
      <c r="J11" s="197">
        <f>-amort!J11</f>
        <v>0</v>
      </c>
      <c r="K11" s="197">
        <f>-amort!K11</f>
        <v>0</v>
      </c>
      <c r="L11" s="197">
        <f>-amort!L11</f>
        <v>0</v>
      </c>
      <c r="M11" s="197">
        <f>-amort!M11</f>
        <v>0</v>
      </c>
      <c r="N11" s="197">
        <f>-amort!N11</f>
        <v>0</v>
      </c>
      <c r="O11" s="197">
        <f>-amort!O11</f>
        <v>0</v>
      </c>
      <c r="P11" s="197">
        <f>-amort!P11</f>
        <v>0</v>
      </c>
      <c r="R11" s="275"/>
      <c r="U11" s="225"/>
      <c r="V11" s="225"/>
      <c r="W11" s="225"/>
    </row>
    <row r="12" spans="1:23" s="93" customFormat="1">
      <c r="A12" s="89"/>
      <c r="B12" s="274" t="s">
        <v>192</v>
      </c>
      <c r="C12" s="274"/>
      <c r="D12" s="274"/>
      <c r="I12" s="276">
        <f>SUM(I9:I11)</f>
        <v>2578</v>
      </c>
      <c r="J12" s="276">
        <f t="shared" ref="J12:P12" si="0">SUM(J9:J11)</f>
        <v>3146</v>
      </c>
      <c r="K12" s="276">
        <f t="shared" si="0"/>
        <v>3159</v>
      </c>
      <c r="L12" s="276">
        <f t="shared" si="0"/>
        <v>2697.2000000000016</v>
      </c>
      <c r="M12" s="276">
        <f t="shared" si="0"/>
        <v>2832.0600000000004</v>
      </c>
      <c r="N12" s="276">
        <f t="shared" si="0"/>
        <v>2888.7012000000004</v>
      </c>
      <c r="O12" s="276">
        <f t="shared" si="0"/>
        <v>2946.4752240000016</v>
      </c>
      <c r="P12" s="276">
        <f t="shared" si="0"/>
        <v>3005.4047284800008</v>
      </c>
      <c r="R12" s="275">
        <f>RATE(P$5-K$5,0,-K12,P12)</f>
        <v>-9.9191332234372463E-3</v>
      </c>
      <c r="U12" s="225"/>
      <c r="V12" s="225"/>
      <c r="W12" s="225"/>
    </row>
    <row r="13" spans="1:23" s="93" customFormat="1">
      <c r="A13" s="89"/>
      <c r="B13" s="274" t="s">
        <v>142</v>
      </c>
      <c r="C13" s="274"/>
      <c r="D13" s="274"/>
      <c r="E13" s="580">
        <f>0.35+0.017</f>
        <v>0.36699999999999999</v>
      </c>
      <c r="I13" s="277">
        <f>-I12*$E13</f>
        <v>-946.12599999999998</v>
      </c>
      <c r="J13" s="277">
        <f t="shared" ref="J13:P13" si="1">-J12*$E13</f>
        <v>-1154.5819999999999</v>
      </c>
      <c r="K13" s="277">
        <f t="shared" si="1"/>
        <v>-1159.3530000000001</v>
      </c>
      <c r="L13" s="277">
        <f t="shared" si="1"/>
        <v>-989.87240000000054</v>
      </c>
      <c r="M13" s="277">
        <f t="shared" si="1"/>
        <v>-1039.3660200000002</v>
      </c>
      <c r="N13" s="277">
        <f t="shared" si="1"/>
        <v>-1060.1533404000002</v>
      </c>
      <c r="O13" s="277">
        <f t="shared" si="1"/>
        <v>-1081.3564072080005</v>
      </c>
      <c r="P13" s="277">
        <f t="shared" si="1"/>
        <v>-1102.9835353521603</v>
      </c>
      <c r="U13" s="225"/>
      <c r="V13" s="225"/>
      <c r="W13" s="225"/>
    </row>
    <row r="14" spans="1:23" s="93" customFormat="1">
      <c r="A14" s="89" t="s">
        <v>118</v>
      </c>
      <c r="B14" s="274" t="s">
        <v>143</v>
      </c>
      <c r="C14" s="274"/>
      <c r="D14" s="274"/>
      <c r="I14" s="276">
        <f>SUM(I12:I13)</f>
        <v>1631.874</v>
      </c>
      <c r="J14" s="276">
        <f t="shared" ref="J14:P14" si="2">SUM(J12:J13)</f>
        <v>1991.4180000000001</v>
      </c>
      <c r="K14" s="276">
        <f t="shared" si="2"/>
        <v>1999.6469999999999</v>
      </c>
      <c r="L14" s="276">
        <f t="shared" si="2"/>
        <v>1707.327600000001</v>
      </c>
      <c r="M14" s="276">
        <f t="shared" si="2"/>
        <v>1792.6939800000002</v>
      </c>
      <c r="N14" s="276">
        <f t="shared" si="2"/>
        <v>1828.5478596000003</v>
      </c>
      <c r="O14" s="276">
        <f t="shared" si="2"/>
        <v>1865.1188167920011</v>
      </c>
      <c r="P14" s="276">
        <f t="shared" si="2"/>
        <v>1902.4211931278405</v>
      </c>
      <c r="U14" s="225"/>
      <c r="V14" s="225"/>
      <c r="W14" s="225"/>
    </row>
    <row r="15" spans="1:23" s="93" customFormat="1" ht="11.5" customHeight="1">
      <c r="A15" s="89"/>
      <c r="I15" s="104"/>
      <c r="J15" s="104"/>
      <c r="K15" s="278"/>
      <c r="L15" s="278"/>
      <c r="M15" s="278"/>
      <c r="N15" s="278"/>
      <c r="O15" s="278"/>
      <c r="P15" s="278"/>
      <c r="S15" s="225"/>
      <c r="U15" s="225"/>
      <c r="V15" s="225"/>
      <c r="W15" s="225"/>
    </row>
    <row r="16" spans="1:23" s="93" customFormat="1">
      <c r="A16" s="89"/>
      <c r="B16" s="274" t="s">
        <v>144</v>
      </c>
      <c r="C16" s="274"/>
      <c r="D16" s="274"/>
      <c r="I16" s="278"/>
      <c r="J16" s="278"/>
      <c r="K16" s="278"/>
      <c r="L16" s="278">
        <f t="shared" ref="L16:P17" si="3">-L10</f>
        <v>0</v>
      </c>
      <c r="M16" s="278">
        <f t="shared" si="3"/>
        <v>0</v>
      </c>
      <c r="N16" s="278">
        <f t="shared" si="3"/>
        <v>0</v>
      </c>
      <c r="O16" s="278">
        <f t="shared" si="3"/>
        <v>0</v>
      </c>
      <c r="P16" s="278">
        <f t="shared" si="3"/>
        <v>0</v>
      </c>
      <c r="S16" s="225"/>
      <c r="U16" s="225"/>
      <c r="V16" s="225"/>
      <c r="W16" s="225"/>
    </row>
    <row r="17" spans="1:23" s="93" customFormat="1">
      <c r="A17" s="89"/>
      <c r="B17" s="274" t="s">
        <v>145</v>
      </c>
      <c r="C17" s="274"/>
      <c r="D17" s="274"/>
      <c r="I17" s="278"/>
      <c r="J17" s="278"/>
      <c r="K17" s="278"/>
      <c r="L17" s="278">
        <f t="shared" si="3"/>
        <v>0</v>
      </c>
      <c r="M17" s="278">
        <f t="shared" si="3"/>
        <v>0</v>
      </c>
      <c r="N17" s="278">
        <f t="shared" si="3"/>
        <v>0</v>
      </c>
      <c r="O17" s="278">
        <f t="shared" si="3"/>
        <v>0</v>
      </c>
      <c r="P17" s="278">
        <f t="shared" si="3"/>
        <v>0</v>
      </c>
      <c r="S17" s="225"/>
      <c r="U17" s="225"/>
      <c r="V17" s="225"/>
      <c r="W17" s="225"/>
    </row>
    <row r="18" spans="1:23" s="93" customFormat="1">
      <c r="A18" s="89"/>
      <c r="B18" s="274" t="s">
        <v>146</v>
      </c>
      <c r="C18" s="274"/>
      <c r="D18" s="274"/>
      <c r="I18" s="278"/>
      <c r="J18" s="278"/>
      <c r="K18" s="278"/>
      <c r="L18" s="29">
        <f>-Investments!L8</f>
        <v>-771.19524690719481</v>
      </c>
      <c r="M18" s="29">
        <f>-Investments!M8</f>
        <v>-543.55761273177632</v>
      </c>
      <c r="N18" s="29">
        <f>-Investments!N8</f>
        <v>658.20936369041738</v>
      </c>
      <c r="O18" s="29">
        <f>-Investments!O8</f>
        <v>675.58699096421697</v>
      </c>
      <c r="P18" s="29">
        <f>-Investments!P8</f>
        <v>693.31217078349437</v>
      </c>
      <c r="S18" s="225"/>
      <c r="U18" s="225"/>
      <c r="V18" s="225"/>
      <c r="W18" s="225"/>
    </row>
    <row r="19" spans="1:23" s="93" customFormat="1">
      <c r="A19" s="89"/>
      <c r="B19" s="274" t="s">
        <v>147</v>
      </c>
      <c r="C19" s="274"/>
      <c r="D19" s="274"/>
      <c r="I19" s="278"/>
      <c r="J19" s="278"/>
      <c r="K19" s="278"/>
      <c r="L19" s="197">
        <f>-amort!L8</f>
        <v>0</v>
      </c>
      <c r="M19" s="197">
        <f>-amort!M8</f>
        <v>0</v>
      </c>
      <c r="N19" s="197">
        <f>-amort!N8</f>
        <v>0</v>
      </c>
      <c r="O19" s="197">
        <f>-amort!O8</f>
        <v>0</v>
      </c>
      <c r="P19" s="197">
        <f>-amort!P8</f>
        <v>0</v>
      </c>
      <c r="S19" s="225"/>
      <c r="U19" s="225"/>
      <c r="V19" s="225"/>
      <c r="W19" s="225"/>
    </row>
    <row r="20" spans="1:23" s="93" customFormat="1">
      <c r="A20" s="89"/>
      <c r="B20" s="274" t="s">
        <v>26</v>
      </c>
      <c r="C20" s="274"/>
      <c r="D20" s="274"/>
      <c r="E20" s="274"/>
      <c r="I20" s="278"/>
      <c r="J20" s="278"/>
      <c r="K20" s="278"/>
      <c r="L20" s="197">
        <f>workingcap!L23</f>
        <v>771.19524690719481</v>
      </c>
      <c r="M20" s="197">
        <f>workingcap!M23</f>
        <v>543.55761273177632</v>
      </c>
      <c r="N20" s="197">
        <f>workingcap!N23</f>
        <v>-658.20936369041738</v>
      </c>
      <c r="O20" s="197">
        <f>workingcap!O23</f>
        <v>-675.58699096421697</v>
      </c>
      <c r="P20" s="197">
        <f>workingcap!P23</f>
        <v>-693.31217078349437</v>
      </c>
      <c r="S20" s="279"/>
      <c r="U20" s="225"/>
      <c r="V20" s="225"/>
      <c r="W20" s="225"/>
    </row>
    <row r="21" spans="1:23" s="93" customFormat="1">
      <c r="A21" s="89"/>
      <c r="B21" s="274" t="s">
        <v>27</v>
      </c>
      <c r="C21" s="274"/>
      <c r="D21" s="274"/>
      <c r="I21" s="277"/>
      <c r="J21" s="277"/>
      <c r="K21" s="277"/>
      <c r="L21" s="197">
        <f>other!L18</f>
        <v>0</v>
      </c>
      <c r="M21" s="197">
        <f>other!M18</f>
        <v>0</v>
      </c>
      <c r="N21" s="197">
        <f>other!N18</f>
        <v>0</v>
      </c>
      <c r="O21" s="197">
        <f>other!O18</f>
        <v>0</v>
      </c>
      <c r="P21" s="197">
        <f>other!P18</f>
        <v>0</v>
      </c>
      <c r="S21" s="225"/>
      <c r="U21" s="225"/>
      <c r="V21" s="225"/>
      <c r="W21" s="225"/>
    </row>
    <row r="22" spans="1:23" s="93" customFormat="1" ht="5.25" customHeight="1">
      <c r="A22" s="89"/>
      <c r="I22" s="250"/>
      <c r="J22" s="250"/>
      <c r="K22" s="250"/>
      <c r="L22" s="280"/>
      <c r="M22" s="280"/>
      <c r="N22" s="280"/>
      <c r="O22" s="280"/>
      <c r="P22" s="280"/>
      <c r="S22" s="225"/>
      <c r="U22" s="225"/>
      <c r="V22" s="225"/>
      <c r="W22" s="225"/>
    </row>
    <row r="23" spans="1:23" s="7" customFormat="1">
      <c r="A23" s="89" t="s">
        <v>118</v>
      </c>
      <c r="B23" s="196" t="s">
        <v>148</v>
      </c>
      <c r="C23" s="196"/>
      <c r="D23" s="196"/>
      <c r="I23" s="281"/>
      <c r="J23" s="281"/>
      <c r="K23" s="281"/>
      <c r="L23" s="199">
        <f>SUM(L14:L21)</f>
        <v>1707.327600000001</v>
      </c>
      <c r="M23" s="199">
        <f>SUM(M14:M21)</f>
        <v>1792.6939800000002</v>
      </c>
      <c r="N23" s="199">
        <f>SUM(N14:N21)</f>
        <v>1828.5478596000003</v>
      </c>
      <c r="O23" s="199">
        <f>SUM(O14:O21)</f>
        <v>1865.1188167920009</v>
      </c>
      <c r="P23" s="199">
        <f>SUM(P14:P21)</f>
        <v>1902.4211931278405</v>
      </c>
      <c r="S23" s="282"/>
      <c r="U23" s="194"/>
      <c r="V23" s="194"/>
      <c r="W23" s="194"/>
    </row>
    <row r="24" spans="1:23" s="93" customFormat="1">
      <c r="A24" s="89"/>
      <c r="B24" s="200" t="s">
        <v>149</v>
      </c>
      <c r="C24" s="200"/>
      <c r="D24" s="200"/>
      <c r="E24" s="14"/>
      <c r="I24" s="14"/>
      <c r="J24" s="14"/>
      <c r="K24" s="201"/>
      <c r="L24" s="202"/>
      <c r="M24" s="202">
        <f>M23/L23-1</f>
        <v>4.99999999999996E-2</v>
      </c>
      <c r="N24" s="202">
        <f>N23/M23-1</f>
        <v>2.0000000000000018E-2</v>
      </c>
      <c r="O24" s="202">
        <f>O23/N23-1</f>
        <v>2.000000000000024E-2</v>
      </c>
      <c r="P24" s="202">
        <f>P23/O23-1</f>
        <v>1.9999999999999796E-2</v>
      </c>
      <c r="U24" s="225"/>
      <c r="V24" s="225"/>
      <c r="W24" s="225"/>
    </row>
    <row r="25" spans="1:23" s="93" customFormat="1">
      <c r="A25" s="89"/>
      <c r="B25" s="200"/>
      <c r="C25" s="200"/>
      <c r="D25" s="200"/>
      <c r="E25" s="14"/>
      <c r="I25" s="14"/>
      <c r="J25" s="14"/>
      <c r="K25" s="201"/>
      <c r="L25" s="201"/>
      <c r="M25" s="201"/>
      <c r="N25" s="201"/>
      <c r="O25" s="201"/>
      <c r="P25" s="201"/>
      <c r="U25" s="225"/>
      <c r="V25" s="225"/>
      <c r="W25" s="225"/>
    </row>
    <row r="26" spans="1:23" s="93" customFormat="1" ht="13" customHeight="1">
      <c r="A26" s="89"/>
      <c r="B26"/>
      <c r="C26"/>
      <c r="D26"/>
      <c r="E26"/>
      <c r="F26"/>
      <c r="G26"/>
      <c r="H26"/>
      <c r="I26"/>
      <c r="J26"/>
      <c r="K26"/>
      <c r="L26" s="283"/>
      <c r="R26" s="283"/>
      <c r="S26" s="283"/>
      <c r="T26" s="283"/>
      <c r="U26" s="225"/>
      <c r="V26" s="225"/>
      <c r="W26" s="225"/>
    </row>
    <row r="27" spans="1:23" s="391" customFormat="1" ht="13" customHeight="1">
      <c r="A27" s="89"/>
      <c r="B27" s="93"/>
      <c r="C27" s="93"/>
      <c r="D27" s="93"/>
      <c r="E27" s="93"/>
      <c r="F27" s="388" t="s">
        <v>28</v>
      </c>
      <c r="G27" s="389"/>
      <c r="H27" s="389"/>
      <c r="I27" s="389"/>
      <c r="J27" s="390"/>
      <c r="K27"/>
      <c r="L27" s="388" t="s">
        <v>29</v>
      </c>
      <c r="M27" s="389"/>
      <c r="N27" s="389"/>
      <c r="O27" s="389"/>
      <c r="P27" s="390"/>
      <c r="S27" s="392"/>
      <c r="T27" s="392"/>
      <c r="U27" s="392"/>
    </row>
    <row r="28" spans="1:23" s="93" customFormat="1" ht="13" customHeight="1">
      <c r="A28" s="89"/>
      <c r="F28" s="284"/>
      <c r="G28" s="273"/>
      <c r="H28" s="273"/>
      <c r="I28" s="273"/>
      <c r="J28" s="285"/>
      <c r="K28"/>
      <c r="L28" s="284"/>
      <c r="M28" s="273"/>
      <c r="N28" s="273"/>
      <c r="O28" s="273"/>
      <c r="P28" s="285"/>
      <c r="S28" s="225"/>
      <c r="T28" s="225"/>
      <c r="U28" s="225"/>
    </row>
    <row r="29" spans="1:23" s="93" customFormat="1" ht="13" customHeight="1">
      <c r="A29" s="89"/>
      <c r="F29" s="286" t="s">
        <v>30</v>
      </c>
      <c r="G29" s="225"/>
      <c r="H29" s="225"/>
      <c r="I29" s="225"/>
      <c r="J29" s="574">
        <v>0.08</v>
      </c>
      <c r="K29"/>
      <c r="L29" s="286" t="s">
        <v>30</v>
      </c>
      <c r="M29" s="225"/>
      <c r="N29" s="225"/>
      <c r="O29" s="225"/>
      <c r="P29" s="287">
        <f>J29</f>
        <v>0.08</v>
      </c>
      <c r="S29" s="225"/>
      <c r="T29" s="225"/>
      <c r="U29" s="225"/>
    </row>
    <row r="30" spans="1:23" s="93" customFormat="1" ht="13" customHeight="1">
      <c r="A30" s="89"/>
      <c r="F30" s="288" t="s">
        <v>31</v>
      </c>
      <c r="G30" s="289"/>
      <c r="H30" s="290"/>
      <c r="I30" s="225"/>
      <c r="J30" s="291">
        <f>NPV(J29,$L$23:$P$23)</f>
        <v>7235.0391831413326</v>
      </c>
      <c r="K30"/>
      <c r="L30" s="288" t="s">
        <v>31</v>
      </c>
      <c r="M30" s="289"/>
      <c r="N30" s="290"/>
      <c r="O30" s="225"/>
      <c r="P30" s="291">
        <f>NPV(P29,$L$23:$P$23)</f>
        <v>7235.0391831413326</v>
      </c>
      <c r="S30" s="225"/>
      <c r="T30" s="225"/>
      <c r="U30" s="225"/>
    </row>
    <row r="31" spans="1:23" s="93" customFormat="1" ht="13" customHeight="1">
      <c r="A31" s="89"/>
      <c r="F31" s="292"/>
      <c r="G31" s="225"/>
      <c r="H31" s="225"/>
      <c r="I31" s="225"/>
      <c r="J31" s="224"/>
      <c r="K31"/>
      <c r="L31" s="292"/>
      <c r="M31" s="225"/>
      <c r="N31" s="225"/>
      <c r="O31" s="225"/>
      <c r="P31" s="224"/>
      <c r="S31" s="225"/>
      <c r="T31" s="225"/>
      <c r="U31" s="225"/>
    </row>
    <row r="32" spans="1:23" s="93" customFormat="1" ht="13" customHeight="1">
      <c r="A32" s="89"/>
      <c r="F32" s="293" t="str">
        <f>"Growth rate of FCF after "&amp;P5</f>
        <v>Growth rate of FCF after 2015</v>
      </c>
      <c r="G32" s="289"/>
      <c r="H32" s="290"/>
      <c r="I32" s="225"/>
      <c r="J32" s="575">
        <v>2.5000000000000001E-2</v>
      </c>
      <c r="K32"/>
      <c r="L32" s="293" t="s">
        <v>32</v>
      </c>
      <c r="M32" s="289"/>
      <c r="N32" s="290"/>
      <c r="O32" s="225"/>
      <c r="P32" s="576">
        <v>9.5</v>
      </c>
      <c r="S32" s="225"/>
      <c r="T32" s="225"/>
      <c r="U32" s="225"/>
    </row>
    <row r="33" spans="1:23" s="93" customFormat="1" ht="13" customHeight="1">
      <c r="A33" s="89"/>
      <c r="F33" s="294" t="s">
        <v>33</v>
      </c>
      <c r="G33" s="225"/>
      <c r="H33" s="225"/>
      <c r="I33" s="225"/>
      <c r="J33" s="295">
        <f>(P23*(1+J32))/(J29-J32)</f>
        <v>35454.213144655201</v>
      </c>
      <c r="K33"/>
      <c r="L33" s="294" t="s">
        <v>33</v>
      </c>
      <c r="M33" s="225"/>
      <c r="N33" s="225"/>
      <c r="O33" s="225"/>
      <c r="P33" s="295">
        <f>P32*P9</f>
        <v>28551.344920560008</v>
      </c>
      <c r="S33" s="225"/>
      <c r="T33" s="225"/>
      <c r="U33" s="225"/>
    </row>
    <row r="34" spans="1:23" s="93" customFormat="1" ht="13" customHeight="1">
      <c r="A34" s="89"/>
      <c r="F34" s="288" t="s">
        <v>34</v>
      </c>
      <c r="G34" s="289"/>
      <c r="H34" s="290"/>
      <c r="I34" s="225"/>
      <c r="J34" s="296">
        <f>PV(J29,$P$5-$K$5,0,-J33)</f>
        <v>24129.541730305547</v>
      </c>
      <c r="K34"/>
      <c r="L34" s="288" t="s">
        <v>34</v>
      </c>
      <c r="M34" s="289"/>
      <c r="N34" s="290"/>
      <c r="O34" s="225"/>
      <c r="P34" s="296">
        <f>PV(P29,$P$5-$K$5,0,-P33)</f>
        <v>19431.565605648135</v>
      </c>
      <c r="S34" s="225"/>
      <c r="T34" s="225"/>
      <c r="U34" s="225"/>
    </row>
    <row r="35" spans="1:23" s="93" customFormat="1" ht="13" customHeight="1">
      <c r="A35" s="89"/>
      <c r="F35" s="292"/>
      <c r="G35" s="225"/>
      <c r="H35" s="225"/>
      <c r="I35" s="225"/>
      <c r="J35" s="224"/>
      <c r="K35"/>
      <c r="L35" s="292"/>
      <c r="M35" s="225"/>
      <c r="N35" s="225"/>
      <c r="O35" s="225"/>
      <c r="P35" s="224"/>
      <c r="S35" s="225"/>
      <c r="T35" s="225"/>
      <c r="U35" s="225"/>
    </row>
    <row r="36" spans="1:23" s="93" customFormat="1" ht="13" customHeight="1">
      <c r="A36" s="89"/>
      <c r="F36" s="293" t="s">
        <v>150</v>
      </c>
      <c r="G36" s="297"/>
      <c r="H36" s="282"/>
      <c r="I36" s="194"/>
      <c r="J36" s="298">
        <f>J34+J30</f>
        <v>31364.58091344688</v>
      </c>
      <c r="K36"/>
      <c r="L36" s="293" t="s">
        <v>150</v>
      </c>
      <c r="M36" s="297"/>
      <c r="N36" s="282"/>
      <c r="O36" s="194"/>
      <c r="P36" s="298">
        <f>P34+P30</f>
        <v>26666.604788789467</v>
      </c>
      <c r="S36" s="225"/>
      <c r="T36" s="225"/>
      <c r="U36" s="225"/>
    </row>
    <row r="37" spans="1:23" s="93" customFormat="1" ht="13" customHeight="1">
      <c r="A37" s="89"/>
      <c r="F37" s="425" t="s">
        <v>245</v>
      </c>
      <c r="G37" s="225"/>
      <c r="H37" s="225"/>
      <c r="I37" s="225"/>
      <c r="J37" s="577">
        <f>-(2246+378-51)</f>
        <v>-2573</v>
      </c>
      <c r="K37"/>
      <c r="L37" s="299" t="str">
        <f>F37</f>
        <v xml:space="preserve"> LESS: Net Debt (d) (e)</v>
      </c>
      <c r="M37" s="225"/>
      <c r="N37" s="225"/>
      <c r="O37" s="225"/>
      <c r="P37" s="426">
        <f>J37</f>
        <v>-2573</v>
      </c>
      <c r="S37" s="225"/>
      <c r="T37" s="225"/>
      <c r="U37" s="225"/>
    </row>
    <row r="38" spans="1:23" s="93" customFormat="1" ht="13" customHeight="1">
      <c r="A38" s="89"/>
      <c r="F38" s="300" t="s">
        <v>35</v>
      </c>
      <c r="G38" s="301"/>
      <c r="H38" s="302"/>
      <c r="I38" s="303"/>
      <c r="J38" s="304">
        <f>SUM(J36:J37)</f>
        <v>28791.58091344688</v>
      </c>
      <c r="K38"/>
      <c r="L38" s="300" t="s">
        <v>35</v>
      </c>
      <c r="M38" s="301"/>
      <c r="N38" s="302"/>
      <c r="O38" s="303"/>
      <c r="P38" s="304">
        <f>SUM(P36:P37)</f>
        <v>24093.604788789467</v>
      </c>
      <c r="S38" s="225"/>
      <c r="T38" s="225"/>
      <c r="U38" s="225"/>
    </row>
    <row r="39" spans="1:23" s="93" customFormat="1" ht="13" customHeight="1">
      <c r="A39" s="89"/>
      <c r="B39"/>
      <c r="C39"/>
      <c r="F39"/>
      <c r="G39"/>
      <c r="H39"/>
      <c r="I39"/>
      <c r="J39"/>
      <c r="K39"/>
      <c r="Q39" s="225"/>
      <c r="R39" s="225"/>
    </row>
    <row r="40" spans="1:23" s="93" customFormat="1" ht="13" customHeight="1">
      <c r="A40" s="89" t="s">
        <v>118</v>
      </c>
      <c r="B40"/>
      <c r="C40"/>
      <c r="F40"/>
      <c r="G40"/>
      <c r="H40"/>
      <c r="I40" s="429" t="s">
        <v>251</v>
      </c>
      <c r="J40" s="650">
        <f>shares!J10+17.552+2.073+3.349</f>
        <v>348.97399999999999</v>
      </c>
      <c r="K40"/>
      <c r="M40"/>
      <c r="N40"/>
      <c r="O40" s="429" t="s">
        <v>251</v>
      </c>
      <c r="P40" s="305">
        <f>J40</f>
        <v>348.97399999999999</v>
      </c>
      <c r="Q40"/>
      <c r="R40"/>
      <c r="S40"/>
      <c r="T40"/>
      <c r="U40"/>
    </row>
    <row r="41" spans="1:23" s="93" customFormat="1" ht="13" customHeight="1">
      <c r="A41" s="89"/>
      <c r="B41"/>
      <c r="C41"/>
      <c r="F41"/>
      <c r="G41"/>
      <c r="H41"/>
      <c r="I41"/>
      <c r="J41"/>
      <c r="K41"/>
      <c r="L41"/>
      <c r="M41"/>
      <c r="N41"/>
      <c r="O41"/>
      <c r="P41"/>
      <c r="Q41"/>
      <c r="R41"/>
      <c r="S41"/>
      <c r="T41"/>
      <c r="U41"/>
      <c r="V41" s="225"/>
      <c r="W41" s="225"/>
    </row>
    <row r="42" spans="1:23" s="93" customFormat="1" ht="13" customHeight="1">
      <c r="A42" s="89"/>
      <c r="B42"/>
      <c r="C42"/>
      <c r="F42"/>
      <c r="G42" s="494"/>
      <c r="H42" s="495"/>
      <c r="I42" s="496" t="s">
        <v>61</v>
      </c>
      <c r="J42" s="497">
        <f>J38/J40</f>
        <v>82.503512907686186</v>
      </c>
      <c r="K42"/>
      <c r="L42"/>
      <c r="M42" s="494"/>
      <c r="N42" s="495"/>
      <c r="O42" s="496" t="s">
        <v>53</v>
      </c>
      <c r="P42" s="497">
        <f>P38/P40</f>
        <v>69.041260348305229</v>
      </c>
      <c r="Q42"/>
      <c r="R42"/>
      <c r="T42"/>
      <c r="U42"/>
      <c r="V42" s="225"/>
      <c r="W42" s="225"/>
    </row>
    <row r="43" spans="1:23" s="93" customFormat="1" ht="13" customHeight="1">
      <c r="B43"/>
      <c r="C43"/>
      <c r="F43"/>
      <c r="G43"/>
      <c r="H43"/>
      <c r="I43"/>
      <c r="J43"/>
      <c r="K43"/>
      <c r="L43"/>
      <c r="M43"/>
      <c r="N43" s="283"/>
      <c r="U43" s="225"/>
      <c r="V43" s="225"/>
      <c r="W43" s="225"/>
    </row>
    <row r="44" spans="1:23" s="93" customFormat="1" ht="13" hidden="1" customHeight="1" outlineLevel="1">
      <c r="A44" s="89"/>
      <c r="B44"/>
      <c r="C44"/>
      <c r="F44" s="319" t="s">
        <v>36</v>
      </c>
      <c r="G44" s="320"/>
      <c r="H44" s="320"/>
      <c r="I44" s="320"/>
      <c r="J44" s="321"/>
      <c r="K44"/>
      <c r="L44" s="319" t="s">
        <v>0</v>
      </c>
      <c r="M44" s="320"/>
      <c r="N44" s="320"/>
      <c r="O44" s="320"/>
      <c r="P44" s="321"/>
      <c r="U44" s="225"/>
      <c r="V44" s="225"/>
      <c r="W44" s="225"/>
    </row>
    <row r="45" spans="1:23" s="93" customFormat="1" ht="13" hidden="1" customHeight="1" outlineLevel="1">
      <c r="A45" s="89"/>
      <c r="B45"/>
      <c r="C45"/>
      <c r="F45" s="306" t="s">
        <v>37</v>
      </c>
      <c r="G45" s="307"/>
      <c r="H45" s="273"/>
      <c r="I45" s="273"/>
      <c r="J45" s="308">
        <f>P23</f>
        <v>1902.4211931278405</v>
      </c>
      <c r="K45"/>
      <c r="L45" s="306" t="s">
        <v>38</v>
      </c>
      <c r="M45" s="307"/>
      <c r="N45" s="273"/>
      <c r="O45" s="273"/>
      <c r="P45" s="308">
        <f>P9</f>
        <v>3005.4047284800008</v>
      </c>
      <c r="U45" s="225"/>
      <c r="V45" s="225"/>
      <c r="W45" s="225"/>
    </row>
    <row r="46" spans="1:23" s="93" customFormat="1" ht="13" hidden="1" customHeight="1" outlineLevel="1">
      <c r="A46" s="89"/>
      <c r="B46"/>
      <c r="C46"/>
      <c r="F46" s="299" t="s">
        <v>39</v>
      </c>
      <c r="G46" s="290"/>
      <c r="H46" s="225"/>
      <c r="I46" s="225"/>
      <c r="J46" s="262">
        <f>J29</f>
        <v>0.08</v>
      </c>
      <c r="K46"/>
      <c r="L46" s="299" t="s">
        <v>39</v>
      </c>
      <c r="M46" s="290"/>
      <c r="N46" s="225"/>
      <c r="O46" s="225"/>
      <c r="P46" s="262">
        <f>P29</f>
        <v>0.08</v>
      </c>
      <c r="U46" s="225"/>
      <c r="V46" s="225"/>
      <c r="W46" s="225"/>
    </row>
    <row r="47" spans="1:23" s="93" customFormat="1" ht="13" hidden="1" customHeight="1" outlineLevel="1">
      <c r="A47" s="89"/>
      <c r="B47"/>
      <c r="C47"/>
      <c r="F47" s="299" t="str">
        <f>"Growth rate of free cash flow after "&amp;P5</f>
        <v>Growth rate of free cash flow after 2015</v>
      </c>
      <c r="G47" s="290"/>
      <c r="H47" s="225"/>
      <c r="I47" s="225"/>
      <c r="J47" s="262">
        <f>J32</f>
        <v>2.5000000000000001E-2</v>
      </c>
      <c r="L47" s="299" t="s">
        <v>40</v>
      </c>
      <c r="M47" s="290"/>
      <c r="N47" s="225"/>
      <c r="O47" s="225"/>
      <c r="P47" s="247">
        <f>P32</f>
        <v>9.5</v>
      </c>
      <c r="U47" s="225"/>
      <c r="V47" s="225"/>
      <c r="W47" s="225"/>
    </row>
    <row r="48" spans="1:23" s="93" customFormat="1" ht="13" hidden="1" customHeight="1" outlineLevel="1">
      <c r="A48" s="89"/>
      <c r="B48" s="225"/>
      <c r="C48" s="225"/>
      <c r="F48" s="299" t="str">
        <f>P5&amp;" EBITDA"</f>
        <v>2015 EBITDA</v>
      </c>
      <c r="G48" s="290"/>
      <c r="H48" s="225"/>
      <c r="I48" s="225"/>
      <c r="J48" s="295">
        <f>P9</f>
        <v>3005.4047284800008</v>
      </c>
      <c r="L48" s="299" t="s">
        <v>37</v>
      </c>
      <c r="M48" s="290"/>
      <c r="N48" s="225"/>
      <c r="O48" s="225"/>
      <c r="P48" s="295">
        <f>P23</f>
        <v>1902.4211931278405</v>
      </c>
      <c r="U48" s="225"/>
      <c r="V48" s="225"/>
      <c r="W48" s="225"/>
    </row>
    <row r="49" spans="1:23" s="93" customFormat="1" ht="13" hidden="1" customHeight="1" outlineLevel="1">
      <c r="A49" s="89"/>
      <c r="B49" s="225"/>
      <c r="C49" s="225"/>
      <c r="F49" s="309"/>
      <c r="G49" s="310"/>
      <c r="H49" s="310"/>
      <c r="I49" s="311" t="s">
        <v>41</v>
      </c>
      <c r="J49" s="312">
        <f>(J45*(1+J47))/((J46-J47)*J48)</f>
        <v>11.79681818181818</v>
      </c>
      <c r="L49" s="309"/>
      <c r="M49" s="310"/>
      <c r="N49" s="310"/>
      <c r="O49" s="311" t="s">
        <v>42</v>
      </c>
      <c r="P49" s="313">
        <f>((P45*P47*P46)-P48)/(P48+(P45*P47))</f>
        <v>1.2533307016678177E-2</v>
      </c>
      <c r="U49" s="225"/>
      <c r="V49" s="225"/>
      <c r="W49" s="225"/>
    </row>
    <row r="50" spans="1:23" s="93" customFormat="1" ht="13" hidden="1" customHeight="1" outlineLevel="1">
      <c r="A50" s="89"/>
      <c r="B50" s="225"/>
      <c r="C50" s="225"/>
      <c r="F50" s="225"/>
      <c r="G50" s="225"/>
      <c r="H50" s="225"/>
      <c r="I50" s="225"/>
      <c r="J50" s="314" t="str">
        <f>"("&amp;TEXT(J45,"$#,#0.0")&amp;" x (1+"&amp;TEXT(J47,"0.0%")&amp;")) / ("&amp;TEXT(J48,"$#,#0.0")&amp; " x ("&amp;TEXT(J46,"0.0%")&amp;" - "&amp;TEXT(J47,"0.0%")&amp;")) = "&amp;TEXT(J49,"0.0x")</f>
        <v>($1,902.4 x (1+2.5%)) / ($3,005.4 x (8.0% - 2.5%)) = 11.8x</v>
      </c>
      <c r="O50" s="225"/>
      <c r="P50" s="314" t="str">
        <f>"("&amp;TEXT(P45,"$#,#0.0")&amp;" x "&amp;TEXT(P47,"0.0")&amp;" x "&amp;TEXT(P46,"0.0%")&amp;") - "&amp;TEXT(P48,"$#,#0.0")&amp;") / ("&amp;TEXT(P48,"$#,#0.0")&amp;" + ("&amp;TEXT(P45,"$#,#0.0")&amp;"  x "&amp;TEXT(P47,"0.0")&amp;")) = "&amp;TEXT(P49,"0.0%")</f>
        <v>($3,005.4 x 9.5 x 8.0%) - $1,902.4) / ($1,902.4 + ($3,005.4  x 9.5)) = 1.3%</v>
      </c>
      <c r="Q50" s="265"/>
      <c r="U50" s="225"/>
      <c r="V50" s="225"/>
      <c r="W50" s="225"/>
    </row>
    <row r="51" spans="1:23" s="93" customFormat="1" ht="13" customHeight="1" collapsed="1">
      <c r="A51" s="89"/>
      <c r="B51" s="225"/>
      <c r="C51" s="225"/>
      <c r="F51" s="225"/>
      <c r="G51" s="225"/>
      <c r="H51" s="225"/>
      <c r="I51" s="392"/>
      <c r="J51" s="392"/>
      <c r="K51" s="489" t="s">
        <v>292</v>
      </c>
      <c r="L51" s="391"/>
      <c r="M51" s="391"/>
      <c r="O51" s="225"/>
      <c r="P51" s="225"/>
      <c r="Q51" s="265"/>
      <c r="U51" s="225"/>
      <c r="V51" s="225"/>
      <c r="W51" s="225"/>
    </row>
    <row r="52" spans="1:23" s="93" customFormat="1" ht="13" customHeight="1">
      <c r="A52" s="89"/>
      <c r="B52" s="225"/>
      <c r="C52" s="225"/>
      <c r="F52" s="225"/>
      <c r="G52" s="225"/>
      <c r="H52" s="225"/>
      <c r="I52" s="225"/>
      <c r="J52" s="225"/>
      <c r="K52" s="489" t="s">
        <v>277</v>
      </c>
      <c r="O52" s="225"/>
      <c r="P52" s="225"/>
      <c r="Q52" s="265"/>
      <c r="U52" s="225"/>
      <c r="V52" s="225"/>
      <c r="W52" s="225"/>
    </row>
    <row r="53" spans="1:23" s="93" customFormat="1" ht="13" customHeight="1">
      <c r="A53" s="89"/>
      <c r="B53" s="225"/>
      <c r="C53" s="225"/>
      <c r="F53" s="225"/>
      <c r="G53" s="225"/>
      <c r="H53" s="225"/>
      <c r="I53" s="225"/>
      <c r="J53" s="225"/>
      <c r="K53" s="489"/>
      <c r="O53" s="225"/>
      <c r="P53" s="225"/>
      <c r="Q53" s="265"/>
      <c r="U53" s="225"/>
      <c r="V53" s="225"/>
      <c r="W53" s="225"/>
    </row>
    <row r="54" spans="1:23" s="93" customFormat="1" ht="11.5" customHeight="1">
      <c r="A54" s="89"/>
      <c r="B54" s="315"/>
      <c r="C54" s="315"/>
      <c r="D54" s="315"/>
      <c r="E54" s="315"/>
      <c r="F54" s="315"/>
      <c r="G54" s="315"/>
      <c r="H54" s="315"/>
      <c r="I54" s="315"/>
      <c r="J54" s="225"/>
      <c r="K54" s="489"/>
      <c r="U54" s="225"/>
      <c r="V54" s="225"/>
      <c r="W54" s="225"/>
    </row>
    <row r="55" spans="1:23" s="192" customFormat="1" ht="11.5" customHeight="1">
      <c r="A55" s="89" t="s">
        <v>118</v>
      </c>
      <c r="B55" s="599" t="s">
        <v>43</v>
      </c>
      <c r="C55" s="600" t="s">
        <v>1</v>
      </c>
      <c r="D55" s="601"/>
      <c r="E55" s="599"/>
      <c r="F55" s="602"/>
      <c r="G55" s="602"/>
      <c r="H55" s="599"/>
      <c r="I55" s="599"/>
      <c r="J55" s="603"/>
      <c r="K55" s="603"/>
      <c r="L55" s="603"/>
      <c r="M55" s="603"/>
      <c r="N55" s="603"/>
      <c r="O55" s="603"/>
      <c r="P55" s="603"/>
      <c r="U55" s="190"/>
      <c r="V55" s="190"/>
      <c r="W55" s="190"/>
    </row>
    <row r="56" spans="1:23" s="192" customFormat="1" ht="11.5" customHeight="1">
      <c r="A56" s="89"/>
      <c r="B56" s="599" t="s">
        <v>44</v>
      </c>
      <c r="C56" s="604" t="str">
        <f>"Present values calculated as of "&amp;TEXT(pv.date,"m/d/yy")&amp;"."</f>
        <v>Present values calculated as of 12/1/09.</v>
      </c>
      <c r="D56" s="599"/>
      <c r="E56" s="599"/>
      <c r="F56" s="599"/>
      <c r="G56" s="599"/>
      <c r="H56" s="599"/>
      <c r="I56" s="599"/>
      <c r="J56" s="599"/>
      <c r="K56" s="599"/>
      <c r="L56" s="599"/>
      <c r="M56" s="599"/>
      <c r="N56" s="599"/>
      <c r="O56" s="599"/>
      <c r="P56" s="599"/>
      <c r="U56" s="190"/>
      <c r="V56" s="190"/>
      <c r="W56" s="190"/>
    </row>
    <row r="57" spans="1:23" s="192" customFormat="1" ht="11.5" customHeight="1">
      <c r="A57" s="89"/>
      <c r="B57" s="599" t="s">
        <v>45</v>
      </c>
      <c r="C57" s="605" t="str">
        <f>"Discounted "&amp;TEXT(P5-K5,"#")&amp;" years; based on "&amp;TEXT(P5,"#")&amp; " unlevered free cash flow of "&amp;TEXT(P23,"$#,#0.0")&amp;" million."</f>
        <v>Discounted 5 years; based on 2015 unlevered free cash flow of $1,902.4 million.</v>
      </c>
      <c r="D57" s="599"/>
      <c r="E57" s="599"/>
      <c r="F57" s="599"/>
      <c r="G57" s="599"/>
      <c r="H57" s="599"/>
      <c r="I57" s="599"/>
      <c r="J57" s="599"/>
      <c r="K57" s="599"/>
      <c r="L57" s="599"/>
      <c r="M57" s="599"/>
      <c r="N57" s="599"/>
      <c r="O57" s="599"/>
      <c r="P57" s="599"/>
      <c r="U57" s="190"/>
      <c r="V57" s="190"/>
      <c r="W57" s="190"/>
    </row>
    <row r="58" spans="1:23" s="192" customFormat="1" ht="11.5" customHeight="1">
      <c r="A58" s="89"/>
      <c r="B58" s="599" t="s">
        <v>46</v>
      </c>
      <c r="C58" s="606" t="str">
        <f>"Balances as of "&amp;TEXT(pv.date,"m/d/yy")&amp;" as a training simplification.  Theoretically, the balances should be as of the PV date.  Many practitioners use the latest available balances as an estimate."</f>
        <v>Balances as of 12/1/09 as a training simplification.  Theoretically, the balances should be as of the PV date.  Many practitioners use the latest available balances as an estimate.</v>
      </c>
      <c r="D58" s="599"/>
      <c r="E58" s="599"/>
      <c r="F58" s="599"/>
      <c r="G58" s="599"/>
      <c r="H58" s="599"/>
      <c r="I58" s="599"/>
      <c r="J58" s="599"/>
      <c r="K58" s="599"/>
      <c r="L58" s="599"/>
      <c r="M58" s="599"/>
      <c r="N58" s="599"/>
      <c r="O58" s="599"/>
      <c r="P58" s="599"/>
      <c r="U58" s="190"/>
      <c r="V58" s="190"/>
      <c r="W58" s="190"/>
    </row>
    <row r="59" spans="1:23" s="192" customFormat="1" ht="11.5" customHeight="1">
      <c r="A59" s="89"/>
      <c r="B59" s="599" t="s">
        <v>47</v>
      </c>
      <c r="C59" s="607" t="s">
        <v>258</v>
      </c>
      <c r="D59" s="599"/>
      <c r="E59" s="599"/>
      <c r="F59" s="599"/>
      <c r="G59" s="599"/>
      <c r="H59" s="599"/>
      <c r="I59" s="599"/>
      <c r="J59" s="599"/>
      <c r="K59" s="599"/>
      <c r="L59" s="599"/>
      <c r="M59" s="599"/>
      <c r="N59" s="599"/>
      <c r="O59" s="599"/>
      <c r="P59" s="599"/>
      <c r="U59" s="190"/>
      <c r="V59" s="190"/>
      <c r="W59" s="190"/>
    </row>
    <row r="60" spans="1:23" s="192" customFormat="1" ht="11.5" customHeight="1">
      <c r="A60" s="89"/>
      <c r="B60" s="599" t="s">
        <v>60</v>
      </c>
      <c r="C60" s="605" t="str">
        <f>"Based on "&amp;TEXT(J40,"#,##0.000")&amp;" million diluted shares outstanding as of "&amp;TEXT(bs.date,"m/d/y")&amp;".  Theoretically, the shares should be as of the PV date to match the timing of the balance sheet items."</f>
        <v>Based on 348.974 million diluted shares outstanding as of 12/31/10.  Theoretically, the shares should be as of the PV date to match the timing of the balance sheet items.</v>
      </c>
      <c r="D60" s="599"/>
      <c r="E60" s="599"/>
      <c r="F60" s="599"/>
      <c r="G60" s="599"/>
      <c r="H60" s="599"/>
      <c r="I60" s="599"/>
      <c r="J60" s="599"/>
      <c r="K60" s="599"/>
      <c r="L60" s="599"/>
      <c r="M60" s="599"/>
      <c r="N60" s="599"/>
      <c r="O60" s="599"/>
      <c r="P60" s="599"/>
      <c r="U60" s="190"/>
      <c r="V60" s="190"/>
      <c r="W60" s="190"/>
    </row>
    <row r="61" spans="1:23" s="192" customFormat="1" ht="10.5">
      <c r="A61" s="89"/>
      <c r="B61" s="599"/>
      <c r="C61" s="599" t="s">
        <v>48</v>
      </c>
      <c r="D61" s="599"/>
      <c r="E61" s="599"/>
      <c r="F61" s="599"/>
      <c r="G61" s="599"/>
      <c r="H61" s="599"/>
      <c r="I61" s="599"/>
      <c r="J61" s="599"/>
      <c r="K61" s="599"/>
      <c r="L61" s="599"/>
      <c r="M61" s="599"/>
      <c r="N61" s="599"/>
      <c r="O61" s="599"/>
      <c r="P61" s="599"/>
      <c r="U61" s="190"/>
      <c r="V61" s="190"/>
      <c r="W61" s="190"/>
    </row>
    <row r="62" spans="1:23" s="192" customFormat="1" ht="10.5">
      <c r="A62" s="89"/>
      <c r="U62" s="190"/>
      <c r="V62" s="190"/>
      <c r="W62" s="190"/>
    </row>
    <row r="63" spans="1:23" s="192" customFormat="1" ht="10.5">
      <c r="A63" s="89"/>
      <c r="E63" s="203" t="s">
        <v>2</v>
      </c>
      <c r="F63" s="578">
        <v>40148</v>
      </c>
      <c r="G63" s="316" t="s">
        <v>54</v>
      </c>
      <c r="U63" s="190"/>
      <c r="V63" s="190"/>
      <c r="W63" s="190"/>
    </row>
    <row r="64" spans="1:23" s="192" customFormat="1" ht="10.5">
      <c r="A64" s="89"/>
      <c r="E64" s="203" t="s">
        <v>3</v>
      </c>
      <c r="F64" s="578">
        <f>FYE</f>
        <v>40543</v>
      </c>
      <c r="G64" s="316" t="s">
        <v>55</v>
      </c>
      <c r="U64" s="190"/>
      <c r="V64" s="190"/>
      <c r="W64" s="190"/>
    </row>
    <row r="65" spans="1:23" s="192" customFormat="1" ht="13" customHeight="1">
      <c r="A65" s="89"/>
      <c r="H65" s="203"/>
      <c r="U65" s="190"/>
      <c r="V65" s="190"/>
      <c r="W65" s="190"/>
    </row>
    <row r="66" spans="1:23" s="192" customFormat="1" ht="18">
      <c r="A66" s="89" t="s">
        <v>118</v>
      </c>
      <c r="B66" s="187" t="s">
        <v>49</v>
      </c>
      <c r="U66" s="190"/>
      <c r="V66" s="190"/>
      <c r="W66" s="190"/>
    </row>
    <row r="67" spans="1:23" s="192" customFormat="1" ht="13" customHeight="1">
      <c r="A67" s="89"/>
      <c r="U67" s="190"/>
      <c r="V67" s="190"/>
      <c r="W67" s="190"/>
    </row>
    <row r="68" spans="1:23" s="192" customFormat="1" ht="13" customHeight="1">
      <c r="A68" s="89"/>
      <c r="U68" s="190"/>
      <c r="V68" s="190"/>
      <c r="W68" s="190"/>
    </row>
    <row r="69" spans="1:23" s="192" customFormat="1" ht="18">
      <c r="A69" s="89" t="s">
        <v>118</v>
      </c>
      <c r="E69" s="317" t="s">
        <v>56</v>
      </c>
      <c r="U69" s="190"/>
      <c r="V69" s="190"/>
      <c r="W69" s="190"/>
    </row>
    <row r="70" spans="1:23" s="192" customFormat="1" ht="13" customHeight="1">
      <c r="A70" s="89"/>
      <c r="E70" s="317"/>
      <c r="U70" s="190"/>
      <c r="V70" s="190"/>
      <c r="W70" s="190"/>
    </row>
    <row r="71" spans="1:23" s="318" customFormat="1" ht="13" customHeight="1">
      <c r="A71" s="89"/>
      <c r="B71" s="18"/>
      <c r="C71" s="18"/>
      <c r="D71" s="18"/>
      <c r="E71" s="18"/>
      <c r="F71" s="18"/>
      <c r="G71" s="18"/>
      <c r="H71" s="430" t="s">
        <v>39</v>
      </c>
      <c r="I71" s="430"/>
      <c r="J71" s="430"/>
      <c r="K71" s="430"/>
      <c r="L71" s="430"/>
      <c r="M71" s="430"/>
      <c r="N71" s="430"/>
      <c r="O71" s="430"/>
      <c r="P71" s="430"/>
      <c r="Q71" s="431"/>
      <c r="R71" s="431"/>
    </row>
    <row r="72" spans="1:23" s="192" customFormat="1" ht="13" customHeight="1">
      <c r="A72" s="89" t="s">
        <v>118</v>
      </c>
      <c r="B72" s="18"/>
      <c r="C72" s="18"/>
      <c r="D72" s="18"/>
      <c r="E72" s="18"/>
      <c r="F72" s="18"/>
      <c r="G72" s="432">
        <f>$J$42</f>
        <v>82.503512907686186</v>
      </c>
      <c r="H72" s="433">
        <v>7.0000000000000007E-2</v>
      </c>
      <c r="I72" s="434">
        <f t="shared" ref="I72:P72" si="4">H72+$R$72</f>
        <v>7.2500000000000009E-2</v>
      </c>
      <c r="J72" s="434">
        <f t="shared" si="4"/>
        <v>7.5000000000000011E-2</v>
      </c>
      <c r="K72" s="434">
        <f t="shared" si="4"/>
        <v>7.7500000000000013E-2</v>
      </c>
      <c r="L72" s="434">
        <f t="shared" si="4"/>
        <v>8.0000000000000016E-2</v>
      </c>
      <c r="M72" s="434">
        <f t="shared" si="4"/>
        <v>8.2500000000000018E-2</v>
      </c>
      <c r="N72" s="434">
        <f t="shared" si="4"/>
        <v>8.500000000000002E-2</v>
      </c>
      <c r="O72" s="434">
        <f t="shared" si="4"/>
        <v>8.7500000000000022E-2</v>
      </c>
      <c r="P72" s="434">
        <f t="shared" si="4"/>
        <v>9.0000000000000024E-2</v>
      </c>
      <c r="Q72" s="18"/>
      <c r="R72" s="433">
        <v>2.5000000000000001E-3</v>
      </c>
      <c r="S72" s="190"/>
      <c r="T72" s="190"/>
      <c r="U72" s="190"/>
    </row>
    <row r="73" spans="1:23" s="192" customFormat="1" ht="13" customHeight="1">
      <c r="A73" s="89"/>
      <c r="B73" s="18"/>
      <c r="C73" s="18"/>
      <c r="D73" s="18"/>
      <c r="E73" s="435"/>
      <c r="F73" s="435"/>
      <c r="G73" s="436">
        <v>1.4999999999999999E-2</v>
      </c>
      <c r="H73" s="437"/>
      <c r="I73" s="438"/>
      <c r="J73" s="438"/>
      <c r="K73" s="438"/>
      <c r="L73" s="438"/>
      <c r="M73" s="438"/>
      <c r="N73" s="438"/>
      <c r="O73" s="438"/>
      <c r="P73" s="439"/>
      <c r="Q73" s="18"/>
      <c r="R73" s="18"/>
      <c r="S73" s="190"/>
      <c r="T73" s="190"/>
      <c r="U73" s="190"/>
    </row>
    <row r="74" spans="1:23" s="192" customFormat="1" ht="13" customHeight="1">
      <c r="A74" s="89"/>
      <c r="B74" s="18"/>
      <c r="C74" s="18"/>
      <c r="D74" s="18"/>
      <c r="E74" s="435"/>
      <c r="F74" s="435"/>
      <c r="G74" s="440">
        <f t="shared" ref="G74:G86" si="5">G73+$G$88</f>
        <v>1.7000000000000001E-2</v>
      </c>
      <c r="H74" s="441"/>
      <c r="I74" s="442"/>
      <c r="J74" s="442"/>
      <c r="K74" s="442"/>
      <c r="L74" s="442"/>
      <c r="M74" s="442"/>
      <c r="N74" s="442"/>
      <c r="O74" s="442"/>
      <c r="P74" s="443"/>
      <c r="Q74" s="18"/>
      <c r="R74" s="18"/>
      <c r="S74" s="190"/>
      <c r="T74" s="190"/>
      <c r="U74" s="190"/>
    </row>
    <row r="75" spans="1:23" s="192" customFormat="1" ht="13" customHeight="1">
      <c r="A75" s="89"/>
      <c r="B75" s="18"/>
      <c r="C75" s="18"/>
      <c r="D75" s="18"/>
      <c r="E75" s="435"/>
      <c r="F75" s="435"/>
      <c r="G75" s="440">
        <f t="shared" si="5"/>
        <v>1.9000000000000003E-2</v>
      </c>
      <c r="H75" s="441"/>
      <c r="I75" s="442"/>
      <c r="J75" s="442"/>
      <c r="K75" s="442"/>
      <c r="L75" s="442"/>
      <c r="M75" s="442"/>
      <c r="N75" s="442"/>
      <c r="O75" s="442"/>
      <c r="P75" s="443"/>
      <c r="Q75" s="18"/>
      <c r="R75" s="18"/>
      <c r="S75" s="190"/>
      <c r="T75" s="190"/>
      <c r="U75" s="190"/>
    </row>
    <row r="76" spans="1:23" s="192" customFormat="1" ht="13" customHeight="1">
      <c r="A76" s="89"/>
      <c r="B76" s="18"/>
      <c r="C76" s="18"/>
      <c r="D76" s="18"/>
      <c r="E76" s="435"/>
      <c r="F76" s="435"/>
      <c r="G76" s="440">
        <f t="shared" si="5"/>
        <v>2.1000000000000005E-2</v>
      </c>
      <c r="H76" s="441"/>
      <c r="I76" s="442"/>
      <c r="J76" s="442"/>
      <c r="K76" s="442"/>
      <c r="L76" s="442"/>
      <c r="M76" s="442"/>
      <c r="N76" s="442"/>
      <c r="O76" s="442"/>
      <c r="P76" s="443"/>
      <c r="Q76" s="18"/>
      <c r="R76" s="18"/>
      <c r="S76" s="190"/>
      <c r="T76" s="190"/>
      <c r="U76" s="190"/>
    </row>
    <row r="77" spans="1:23" s="192" customFormat="1" ht="13" customHeight="1">
      <c r="A77" s="89"/>
      <c r="B77" s="18"/>
      <c r="C77" s="18"/>
      <c r="D77" s="18"/>
      <c r="E77" s="435"/>
      <c r="F77" s="435"/>
      <c r="G77" s="440">
        <f t="shared" si="5"/>
        <v>2.3000000000000007E-2</v>
      </c>
      <c r="H77" s="441"/>
      <c r="I77" s="442"/>
      <c r="J77" s="442"/>
      <c r="K77" s="442"/>
      <c r="L77" s="442"/>
      <c r="M77" s="442"/>
      <c r="N77" s="442"/>
      <c r="O77" s="442"/>
      <c r="P77" s="443"/>
      <c r="Q77" s="18"/>
      <c r="R77" s="18"/>
      <c r="S77" s="190"/>
      <c r="T77" s="190"/>
      <c r="U77" s="190"/>
    </row>
    <row r="78" spans="1:23" s="192" customFormat="1" ht="13" customHeight="1">
      <c r="A78" s="89"/>
      <c r="B78" s="18"/>
      <c r="C78" s="18"/>
      <c r="D78" s="18"/>
      <c r="E78" s="430" t="s">
        <v>50</v>
      </c>
      <c r="F78" s="430"/>
      <c r="G78" s="440">
        <f t="shared" si="5"/>
        <v>2.5000000000000008E-2</v>
      </c>
      <c r="H78" s="441"/>
      <c r="I78" s="442"/>
      <c r="J78" s="442"/>
      <c r="K78" s="442"/>
      <c r="L78" s="442"/>
      <c r="M78" s="442"/>
      <c r="N78" s="442"/>
      <c r="O78" s="442"/>
      <c r="P78" s="443"/>
      <c r="Q78" s="18"/>
      <c r="R78" s="18"/>
      <c r="S78" s="190"/>
      <c r="T78" s="190"/>
      <c r="U78" s="190"/>
    </row>
    <row r="79" spans="1:23" s="192" customFormat="1" ht="13" customHeight="1">
      <c r="A79" s="89"/>
      <c r="B79" s="18"/>
      <c r="C79" s="18"/>
      <c r="D79" s="18"/>
      <c r="E79" s="430" t="s">
        <v>51</v>
      </c>
      <c r="F79" s="430"/>
      <c r="G79" s="440">
        <f t="shared" si="5"/>
        <v>2.700000000000001E-2</v>
      </c>
      <c r="H79" s="441"/>
      <c r="I79" s="442"/>
      <c r="J79" s="442"/>
      <c r="K79" s="442"/>
      <c r="L79" s="442"/>
      <c r="M79" s="442"/>
      <c r="N79" s="442"/>
      <c r="O79" s="442"/>
      <c r="P79" s="443"/>
      <c r="Q79" s="18"/>
      <c r="R79" s="18"/>
      <c r="S79" s="190"/>
      <c r="T79" s="190"/>
      <c r="U79" s="190"/>
    </row>
    <row r="80" spans="1:23" s="192" customFormat="1" ht="13" customHeight="1">
      <c r="A80" s="89"/>
      <c r="B80" s="18"/>
      <c r="C80" s="18"/>
      <c r="D80" s="18"/>
      <c r="E80" s="430" t="s">
        <v>52</v>
      </c>
      <c r="F80" s="430"/>
      <c r="G80" s="440">
        <f t="shared" si="5"/>
        <v>2.9000000000000012E-2</v>
      </c>
      <c r="H80" s="441"/>
      <c r="I80" s="442"/>
      <c r="J80" s="442"/>
      <c r="K80" s="442"/>
      <c r="L80" s="442"/>
      <c r="M80" s="442"/>
      <c r="N80" s="442"/>
      <c r="O80" s="442"/>
      <c r="P80" s="443"/>
      <c r="Q80" s="18"/>
      <c r="R80" s="18"/>
      <c r="S80" s="190"/>
      <c r="T80" s="190"/>
      <c r="U80" s="190"/>
    </row>
    <row r="81" spans="1:23" s="192" customFormat="1" ht="13" customHeight="1">
      <c r="A81" s="89"/>
      <c r="B81" s="18"/>
      <c r="C81" s="18"/>
      <c r="D81" s="18"/>
      <c r="E81" s="435"/>
      <c r="F81" s="435"/>
      <c r="G81" s="440">
        <f t="shared" si="5"/>
        <v>3.1000000000000014E-2</v>
      </c>
      <c r="H81" s="441"/>
      <c r="I81" s="442"/>
      <c r="J81" s="442"/>
      <c r="K81" s="442"/>
      <c r="L81" s="442"/>
      <c r="M81" s="442"/>
      <c r="N81" s="442"/>
      <c r="O81" s="442"/>
      <c r="P81" s="443"/>
      <c r="Q81" s="18"/>
      <c r="R81" s="18"/>
      <c r="S81" s="190"/>
      <c r="T81" s="190"/>
      <c r="U81" s="190"/>
    </row>
    <row r="82" spans="1:23" s="192" customFormat="1" ht="13" customHeight="1">
      <c r="A82" s="89"/>
      <c r="B82" s="18"/>
      <c r="C82" s="18"/>
      <c r="D82" s="18"/>
      <c r="E82" s="435"/>
      <c r="F82" s="435"/>
      <c r="G82" s="440">
        <f t="shared" si="5"/>
        <v>3.3000000000000015E-2</v>
      </c>
      <c r="H82" s="441"/>
      <c r="I82" s="442"/>
      <c r="J82" s="442"/>
      <c r="K82" s="442"/>
      <c r="L82" s="442"/>
      <c r="M82" s="442"/>
      <c r="N82" s="442"/>
      <c r="O82" s="442"/>
      <c r="P82" s="443"/>
      <c r="Q82" s="18"/>
      <c r="R82" s="18"/>
      <c r="S82" s="190"/>
      <c r="T82" s="190"/>
      <c r="U82" s="190"/>
    </row>
    <row r="83" spans="1:23" s="192" customFormat="1" ht="13" customHeight="1">
      <c r="A83" s="89"/>
      <c r="B83" s="18"/>
      <c r="C83" s="18"/>
      <c r="D83" s="18"/>
      <c r="E83" s="435"/>
      <c r="F83" s="435"/>
      <c r="G83" s="440">
        <f t="shared" si="5"/>
        <v>3.5000000000000017E-2</v>
      </c>
      <c r="H83" s="441"/>
      <c r="I83" s="442"/>
      <c r="J83" s="442"/>
      <c r="K83" s="442"/>
      <c r="L83" s="442"/>
      <c r="M83" s="442"/>
      <c r="N83" s="442"/>
      <c r="O83" s="442"/>
      <c r="P83" s="443"/>
      <c r="Q83" s="18"/>
      <c r="R83" s="18"/>
      <c r="S83" s="190"/>
      <c r="T83" s="190"/>
      <c r="U83" s="190"/>
    </row>
    <row r="84" spans="1:23" s="192" customFormat="1" ht="13" customHeight="1">
      <c r="A84" s="89"/>
      <c r="B84" s="18"/>
      <c r="C84" s="18"/>
      <c r="D84" s="18"/>
      <c r="E84" s="435"/>
      <c r="F84" s="435"/>
      <c r="G84" s="440">
        <f t="shared" si="5"/>
        <v>3.7000000000000019E-2</v>
      </c>
      <c r="H84" s="441"/>
      <c r="I84" s="442"/>
      <c r="J84" s="442"/>
      <c r="K84" s="442"/>
      <c r="L84" s="442"/>
      <c r="M84" s="442"/>
      <c r="N84" s="442"/>
      <c r="O84" s="442"/>
      <c r="P84" s="443"/>
      <c r="Q84" s="18"/>
      <c r="R84" s="18"/>
      <c r="S84" s="190"/>
      <c r="T84" s="190"/>
      <c r="U84" s="190"/>
    </row>
    <row r="85" spans="1:23" s="192" customFormat="1" ht="13" customHeight="1">
      <c r="A85" s="89"/>
      <c r="B85" s="18"/>
      <c r="C85" s="18"/>
      <c r="D85" s="18"/>
      <c r="E85" s="435"/>
      <c r="F85" s="435"/>
      <c r="G85" s="440">
        <f t="shared" si="5"/>
        <v>3.9000000000000021E-2</v>
      </c>
      <c r="H85" s="441"/>
      <c r="I85" s="442"/>
      <c r="J85" s="442"/>
      <c r="K85" s="442"/>
      <c r="L85" s="442"/>
      <c r="M85" s="442"/>
      <c r="N85" s="442"/>
      <c r="O85" s="442"/>
      <c r="P85" s="443"/>
      <c r="Q85" s="18"/>
      <c r="R85" s="18"/>
      <c r="S85" s="190"/>
      <c r="T85" s="190"/>
      <c r="U85" s="190"/>
    </row>
    <row r="86" spans="1:23" s="192" customFormat="1" ht="13" customHeight="1">
      <c r="A86" s="89"/>
      <c r="B86" s="18"/>
      <c r="C86" s="18"/>
      <c r="D86" s="18"/>
      <c r="E86" s="435"/>
      <c r="F86" s="435"/>
      <c r="G86" s="440">
        <f t="shared" si="5"/>
        <v>4.1000000000000023E-2</v>
      </c>
      <c r="H86" s="444"/>
      <c r="I86" s="445"/>
      <c r="J86" s="445"/>
      <c r="K86" s="445"/>
      <c r="L86" s="445"/>
      <c r="M86" s="445"/>
      <c r="N86" s="445"/>
      <c r="O86" s="445"/>
      <c r="P86" s="446"/>
      <c r="Q86" s="18"/>
      <c r="R86" s="18"/>
      <c r="S86" s="190"/>
      <c r="T86" s="190"/>
      <c r="U86" s="190"/>
    </row>
    <row r="87" spans="1:23" s="192" customFormat="1" ht="13" customHeight="1">
      <c r="A87" s="89"/>
      <c r="B87" s="18"/>
      <c r="C87" s="18"/>
      <c r="D87" s="18"/>
      <c r="E87" s="18"/>
      <c r="F87" s="18"/>
      <c r="G87" s="18"/>
      <c r="H87" s="18"/>
      <c r="I87" s="18"/>
      <c r="J87" s="18"/>
      <c r="K87" s="18"/>
      <c r="L87" s="18"/>
      <c r="M87" s="18"/>
      <c r="N87" s="18"/>
      <c r="O87" s="18"/>
      <c r="P87" s="18"/>
      <c r="Q87" s="18"/>
      <c r="R87" s="18"/>
      <c r="S87" s="190"/>
      <c r="T87" s="190"/>
      <c r="U87" s="190"/>
    </row>
    <row r="88" spans="1:23" s="192" customFormat="1" ht="13" customHeight="1">
      <c r="A88" s="89"/>
      <c r="B88" s="18"/>
      <c r="C88" s="18"/>
      <c r="D88" s="18"/>
      <c r="E88" s="18"/>
      <c r="F88" s="18"/>
      <c r="G88" s="433">
        <v>2E-3</v>
      </c>
      <c r="H88" s="18"/>
      <c r="I88" s="18"/>
      <c r="J88" s="18"/>
      <c r="K88" s="18"/>
      <c r="L88" s="18"/>
      <c r="M88" s="18"/>
      <c r="N88" s="18"/>
      <c r="O88" s="18"/>
      <c r="P88" s="18"/>
      <c r="Q88" s="18"/>
      <c r="R88" s="18"/>
      <c r="S88" s="190"/>
      <c r="T88" s="190"/>
      <c r="U88" s="190"/>
    </row>
    <row r="89" spans="1:23" s="192" customFormat="1" ht="13" customHeight="1">
      <c r="A89" s="89"/>
      <c r="B89" s="18"/>
      <c r="C89" s="18"/>
      <c r="D89" s="18"/>
      <c r="E89" s="18"/>
      <c r="F89" s="18"/>
      <c r="G89" s="18"/>
      <c r="H89" s="18"/>
      <c r="I89" s="18"/>
      <c r="J89" s="18"/>
      <c r="K89" s="18"/>
      <c r="L89" s="18"/>
      <c r="M89" s="18"/>
      <c r="N89" s="18"/>
      <c r="O89" s="18"/>
      <c r="P89" s="18"/>
      <c r="Q89" s="18"/>
      <c r="R89" s="18"/>
      <c r="S89" s="190"/>
      <c r="T89" s="190"/>
      <c r="U89" s="190"/>
    </row>
    <row r="90" spans="1:23" s="192" customFormat="1" ht="13" customHeight="1">
      <c r="A90" s="89"/>
      <c r="B90" s="18"/>
      <c r="C90" s="18"/>
      <c r="D90" s="18"/>
      <c r="E90" s="18"/>
      <c r="F90" s="18"/>
      <c r="G90" s="18"/>
      <c r="H90" s="18"/>
      <c r="I90" s="18"/>
      <c r="J90" s="18"/>
      <c r="K90" s="18"/>
      <c r="L90" s="18"/>
      <c r="M90" s="18"/>
      <c r="N90" s="18"/>
      <c r="O90" s="18"/>
      <c r="P90" s="18"/>
      <c r="Q90" s="18"/>
      <c r="R90" s="18"/>
      <c r="U90" s="190"/>
      <c r="V90" s="190"/>
      <c r="W90" s="190"/>
    </row>
    <row r="91" spans="1:23" s="192" customFormat="1">
      <c r="A91" s="89" t="s">
        <v>118</v>
      </c>
      <c r="B91" s="18"/>
      <c r="C91" s="18"/>
      <c r="D91" s="18"/>
      <c r="E91" s="447" t="s">
        <v>57</v>
      </c>
      <c r="F91" s="18"/>
      <c r="G91" s="18"/>
      <c r="H91" s="18"/>
      <c r="I91" s="18"/>
      <c r="J91" s="18"/>
      <c r="K91" s="18"/>
      <c r="L91" s="18"/>
      <c r="M91" s="18"/>
      <c r="N91" s="18"/>
      <c r="O91" s="18"/>
      <c r="P91" s="18"/>
      <c r="Q91" s="18"/>
      <c r="R91" s="18"/>
      <c r="U91" s="190"/>
      <c r="V91" s="190"/>
      <c r="W91" s="190"/>
    </row>
    <row r="92" spans="1:23" s="192" customFormat="1" ht="13" customHeight="1">
      <c r="A92" s="89"/>
      <c r="B92" s="18"/>
      <c r="C92" s="18"/>
      <c r="D92" s="18"/>
      <c r="E92" s="447"/>
      <c r="F92" s="18"/>
      <c r="G92" s="18"/>
      <c r="H92" s="18"/>
      <c r="I92" s="18"/>
      <c r="J92" s="18"/>
      <c r="K92" s="18"/>
      <c r="L92" s="18"/>
      <c r="M92" s="18"/>
      <c r="N92" s="18"/>
      <c r="O92" s="18"/>
      <c r="P92" s="18"/>
      <c r="Q92" s="18"/>
      <c r="R92" s="18"/>
      <c r="U92" s="190"/>
      <c r="V92" s="190"/>
      <c r="W92" s="190"/>
    </row>
    <row r="93" spans="1:23" s="192" customFormat="1" ht="13" customHeight="1">
      <c r="A93" s="89"/>
      <c r="B93" s="18"/>
      <c r="C93" s="18"/>
      <c r="D93" s="18"/>
      <c r="E93" s="18"/>
      <c r="F93" s="18"/>
      <c r="G93" s="18"/>
      <c r="H93" s="430" t="s">
        <v>39</v>
      </c>
      <c r="I93" s="430"/>
      <c r="J93" s="430"/>
      <c r="K93" s="430"/>
      <c r="L93" s="430"/>
      <c r="M93" s="430"/>
      <c r="N93" s="430"/>
      <c r="O93" s="430"/>
      <c r="P93" s="430"/>
      <c r="Q93" s="431"/>
      <c r="R93" s="431"/>
      <c r="U93" s="190"/>
      <c r="V93" s="190"/>
      <c r="W93" s="190"/>
    </row>
    <row r="94" spans="1:23" s="192" customFormat="1" ht="13" customHeight="1">
      <c r="A94" s="89" t="s">
        <v>118</v>
      </c>
      <c r="B94" s="18"/>
      <c r="C94" s="18"/>
      <c r="D94" s="18"/>
      <c r="E94" s="18"/>
      <c r="F94" s="18"/>
      <c r="G94" s="432">
        <f>$P$42</f>
        <v>69.041260348305229</v>
      </c>
      <c r="H94" s="433">
        <f>H72</f>
        <v>7.0000000000000007E-2</v>
      </c>
      <c r="I94" s="434">
        <f t="shared" ref="I94:P94" si="6">H94+$R$72</f>
        <v>7.2500000000000009E-2</v>
      </c>
      <c r="J94" s="434">
        <f t="shared" si="6"/>
        <v>7.5000000000000011E-2</v>
      </c>
      <c r="K94" s="434">
        <f t="shared" si="6"/>
        <v>7.7500000000000013E-2</v>
      </c>
      <c r="L94" s="434">
        <f t="shared" si="6"/>
        <v>8.0000000000000016E-2</v>
      </c>
      <c r="M94" s="434">
        <f t="shared" si="6"/>
        <v>8.2500000000000018E-2</v>
      </c>
      <c r="N94" s="434">
        <f t="shared" si="6"/>
        <v>8.500000000000002E-2</v>
      </c>
      <c r="O94" s="434">
        <f t="shared" si="6"/>
        <v>8.7500000000000022E-2</v>
      </c>
      <c r="P94" s="434">
        <f t="shared" si="6"/>
        <v>9.0000000000000024E-2</v>
      </c>
      <c r="Q94" s="18"/>
      <c r="R94" s="433">
        <v>2.5000000000000001E-3</v>
      </c>
      <c r="U94" s="190"/>
      <c r="V94" s="190"/>
      <c r="W94" s="190"/>
    </row>
    <row r="95" spans="1:23" s="192" customFormat="1" ht="13" customHeight="1">
      <c r="A95" s="89"/>
      <c r="B95" s="18"/>
      <c r="C95" s="18"/>
      <c r="D95" s="18"/>
      <c r="E95" s="435"/>
      <c r="F95" s="435"/>
      <c r="G95" s="448">
        <v>6</v>
      </c>
      <c r="H95" s="437"/>
      <c r="I95" s="438"/>
      <c r="J95" s="438"/>
      <c r="K95" s="438"/>
      <c r="L95" s="438"/>
      <c r="M95" s="438"/>
      <c r="N95" s="438"/>
      <c r="O95" s="438"/>
      <c r="P95" s="439"/>
      <c r="Q95" s="18"/>
      <c r="R95" s="18"/>
      <c r="U95" s="190"/>
      <c r="V95" s="190"/>
      <c r="W95" s="190"/>
    </row>
    <row r="96" spans="1:23" s="192" customFormat="1" ht="13" customHeight="1">
      <c r="A96" s="89"/>
      <c r="B96" s="18"/>
      <c r="C96" s="18"/>
      <c r="D96" s="18"/>
      <c r="E96" s="435"/>
      <c r="F96" s="435"/>
      <c r="G96" s="449">
        <f>G95+$G$110</f>
        <v>6.5</v>
      </c>
      <c r="H96" s="441"/>
      <c r="I96" s="442"/>
      <c r="J96" s="442"/>
      <c r="K96" s="442"/>
      <c r="L96" s="442"/>
      <c r="M96" s="442"/>
      <c r="N96" s="442"/>
      <c r="O96" s="442"/>
      <c r="P96" s="443"/>
      <c r="Q96" s="18"/>
      <c r="R96" s="18"/>
      <c r="U96" s="190"/>
      <c r="V96" s="190"/>
      <c r="W96" s="190"/>
    </row>
    <row r="97" spans="1:23" s="192" customFormat="1" ht="13" customHeight="1">
      <c r="A97" s="89"/>
      <c r="B97" s="18"/>
      <c r="C97" s="18"/>
      <c r="D97" s="18"/>
      <c r="E97" s="435"/>
      <c r="F97" s="435"/>
      <c r="G97" s="449">
        <f t="shared" ref="G97:G108" si="7">G96+$G$110</f>
        <v>7</v>
      </c>
      <c r="H97" s="441"/>
      <c r="I97" s="442"/>
      <c r="J97" s="442"/>
      <c r="K97" s="442"/>
      <c r="L97" s="442"/>
      <c r="M97" s="442"/>
      <c r="N97" s="442"/>
      <c r="O97" s="442"/>
      <c r="P97" s="443"/>
      <c r="Q97" s="18"/>
      <c r="R97" s="18"/>
      <c r="U97" s="190"/>
      <c r="V97" s="190"/>
      <c r="W97" s="190"/>
    </row>
    <row r="98" spans="1:23" s="192" customFormat="1" ht="13" customHeight="1">
      <c r="A98" s="89"/>
      <c r="B98" s="18"/>
      <c r="C98" s="18"/>
      <c r="D98" s="18"/>
      <c r="E98" s="435"/>
      <c r="F98" s="435"/>
      <c r="G98" s="449">
        <f t="shared" si="7"/>
        <v>7.5</v>
      </c>
      <c r="H98" s="441"/>
      <c r="I98" s="442"/>
      <c r="J98" s="442"/>
      <c r="K98" s="442"/>
      <c r="L98" s="442"/>
      <c r="M98" s="442"/>
      <c r="N98" s="442"/>
      <c r="O98" s="442"/>
      <c r="P98" s="443"/>
      <c r="Q98" s="18"/>
      <c r="R98" s="18"/>
      <c r="U98" s="190"/>
      <c r="V98" s="190"/>
      <c r="W98" s="190"/>
    </row>
    <row r="99" spans="1:23" s="192" customFormat="1" ht="13" customHeight="1">
      <c r="A99" s="89"/>
      <c r="B99" s="18"/>
      <c r="C99" s="18"/>
      <c r="D99" s="18"/>
      <c r="E99" s="435"/>
      <c r="F99" s="435"/>
      <c r="G99" s="449">
        <f t="shared" si="7"/>
        <v>8</v>
      </c>
      <c r="H99" s="441"/>
      <c r="I99" s="442"/>
      <c r="J99" s="442"/>
      <c r="K99" s="442"/>
      <c r="L99" s="442"/>
      <c r="M99" s="442"/>
      <c r="N99" s="442"/>
      <c r="O99" s="442"/>
      <c r="P99" s="443"/>
      <c r="Q99" s="18"/>
      <c r="R99" s="18"/>
      <c r="U99" s="190"/>
      <c r="V99" s="190"/>
      <c r="W99" s="190"/>
    </row>
    <row r="100" spans="1:23" s="192" customFormat="1" ht="13" customHeight="1">
      <c r="A100" s="89"/>
      <c r="B100" s="18"/>
      <c r="C100" s="18"/>
      <c r="D100" s="18"/>
      <c r="E100" s="430" t="s">
        <v>193</v>
      </c>
      <c r="F100" s="430"/>
      <c r="G100" s="449">
        <f t="shared" si="7"/>
        <v>8.5</v>
      </c>
      <c r="H100" s="441"/>
      <c r="I100" s="442"/>
      <c r="J100" s="442"/>
      <c r="K100" s="442"/>
      <c r="L100" s="442"/>
      <c r="M100" s="442"/>
      <c r="N100" s="442"/>
      <c r="O100" s="442"/>
      <c r="P100" s="443"/>
      <c r="Q100" s="18"/>
      <c r="R100" s="18"/>
      <c r="U100" s="190"/>
      <c r="V100" s="190"/>
      <c r="W100" s="190"/>
    </row>
    <row r="101" spans="1:23" s="192" customFormat="1" ht="13" customHeight="1">
      <c r="A101" s="89"/>
      <c r="B101" s="18"/>
      <c r="C101" s="18"/>
      <c r="D101" s="18"/>
      <c r="E101" s="430" t="s">
        <v>59</v>
      </c>
      <c r="F101" s="430"/>
      <c r="G101" s="449">
        <f t="shared" si="7"/>
        <v>9</v>
      </c>
      <c r="H101" s="441"/>
      <c r="I101" s="442"/>
      <c r="J101" s="442"/>
      <c r="K101" s="442"/>
      <c r="L101" s="442"/>
      <c r="M101" s="442"/>
      <c r="N101" s="442"/>
      <c r="O101" s="442"/>
      <c r="P101" s="443"/>
      <c r="Q101" s="18"/>
      <c r="R101" s="18"/>
      <c r="U101" s="190"/>
      <c r="V101" s="190"/>
      <c r="W101" s="190"/>
    </row>
    <row r="102" spans="1:23" s="192" customFormat="1" ht="13" customHeight="1">
      <c r="A102" s="89"/>
      <c r="B102" s="18"/>
      <c r="C102" s="18"/>
      <c r="D102" s="18"/>
      <c r="E102" s="430" t="s">
        <v>58</v>
      </c>
      <c r="F102" s="430"/>
      <c r="G102" s="449">
        <f t="shared" si="7"/>
        <v>9.5</v>
      </c>
      <c r="H102" s="441"/>
      <c r="I102" s="442"/>
      <c r="J102" s="442"/>
      <c r="K102" s="442"/>
      <c r="L102" s="442"/>
      <c r="M102" s="442"/>
      <c r="N102" s="442"/>
      <c r="O102" s="442"/>
      <c r="P102" s="443"/>
      <c r="Q102" s="18"/>
      <c r="R102" s="18"/>
      <c r="U102" s="190"/>
      <c r="V102" s="190"/>
      <c r="W102" s="190"/>
    </row>
    <row r="103" spans="1:23" s="192" customFormat="1" ht="13" customHeight="1">
      <c r="A103" s="89"/>
      <c r="B103" s="18"/>
      <c r="C103" s="18"/>
      <c r="D103" s="18"/>
      <c r="E103" s="435"/>
      <c r="F103" s="435"/>
      <c r="G103" s="449">
        <f t="shared" si="7"/>
        <v>10</v>
      </c>
      <c r="H103" s="441"/>
      <c r="I103" s="442"/>
      <c r="J103" s="442"/>
      <c r="K103" s="442"/>
      <c r="L103" s="442"/>
      <c r="M103" s="442"/>
      <c r="N103" s="442"/>
      <c r="O103" s="442"/>
      <c r="P103" s="443"/>
      <c r="Q103" s="18"/>
      <c r="R103" s="18"/>
      <c r="U103" s="190"/>
      <c r="V103" s="190"/>
      <c r="W103" s="190"/>
    </row>
    <row r="104" spans="1:23" s="192" customFormat="1" ht="13" customHeight="1">
      <c r="A104" s="89"/>
      <c r="B104" s="18"/>
      <c r="C104" s="18"/>
      <c r="D104" s="18"/>
      <c r="E104" s="435"/>
      <c r="F104" s="435"/>
      <c r="G104" s="449">
        <f t="shared" si="7"/>
        <v>10.5</v>
      </c>
      <c r="H104" s="441"/>
      <c r="I104" s="442"/>
      <c r="J104" s="442"/>
      <c r="K104" s="442"/>
      <c r="L104" s="442"/>
      <c r="M104" s="442"/>
      <c r="N104" s="442"/>
      <c r="O104" s="442"/>
      <c r="P104" s="443"/>
      <c r="Q104" s="18"/>
      <c r="R104" s="18"/>
      <c r="U104" s="190"/>
      <c r="V104" s="190"/>
      <c r="W104" s="190"/>
    </row>
    <row r="105" spans="1:23" s="192" customFormat="1" ht="13" customHeight="1">
      <c r="A105" s="89"/>
      <c r="B105" s="18"/>
      <c r="C105" s="18"/>
      <c r="D105" s="18"/>
      <c r="E105" s="435"/>
      <c r="F105" s="435"/>
      <c r="G105" s="449">
        <f t="shared" si="7"/>
        <v>11</v>
      </c>
      <c r="H105" s="441"/>
      <c r="I105" s="442"/>
      <c r="J105" s="442"/>
      <c r="K105" s="442"/>
      <c r="L105" s="442"/>
      <c r="M105" s="442"/>
      <c r="N105" s="442"/>
      <c r="O105" s="442"/>
      <c r="P105" s="443"/>
      <c r="Q105" s="18"/>
      <c r="R105" s="18"/>
      <c r="U105" s="190"/>
      <c r="V105" s="190"/>
      <c r="W105" s="190"/>
    </row>
    <row r="106" spans="1:23" s="192" customFormat="1" ht="13" customHeight="1">
      <c r="A106" s="89"/>
      <c r="B106" s="18"/>
      <c r="C106" s="18"/>
      <c r="D106" s="18"/>
      <c r="E106" s="435"/>
      <c r="F106" s="435"/>
      <c r="G106" s="449">
        <f t="shared" si="7"/>
        <v>11.5</v>
      </c>
      <c r="H106" s="441"/>
      <c r="I106" s="442"/>
      <c r="J106" s="442"/>
      <c r="K106" s="442"/>
      <c r="L106" s="442"/>
      <c r="M106" s="442"/>
      <c r="N106" s="442"/>
      <c r="O106" s="442"/>
      <c r="P106" s="443"/>
      <c r="Q106" s="18"/>
      <c r="R106" s="18"/>
      <c r="U106" s="190"/>
      <c r="V106" s="190"/>
      <c r="W106" s="190"/>
    </row>
    <row r="107" spans="1:23" s="192" customFormat="1" ht="13" customHeight="1">
      <c r="A107" s="89"/>
      <c r="B107" s="18"/>
      <c r="C107" s="18"/>
      <c r="D107" s="18"/>
      <c r="E107" s="435"/>
      <c r="F107" s="435"/>
      <c r="G107" s="449">
        <f t="shared" si="7"/>
        <v>12</v>
      </c>
      <c r="H107" s="441"/>
      <c r="I107" s="442"/>
      <c r="J107" s="442"/>
      <c r="K107" s="442"/>
      <c r="L107" s="442"/>
      <c r="M107" s="442"/>
      <c r="N107" s="442"/>
      <c r="O107" s="442"/>
      <c r="P107" s="443"/>
      <c r="Q107" s="18"/>
      <c r="R107" s="18"/>
      <c r="U107" s="190"/>
      <c r="V107" s="190"/>
      <c r="W107" s="190"/>
    </row>
    <row r="108" spans="1:23" s="192" customFormat="1" ht="13" customHeight="1">
      <c r="A108" s="89"/>
      <c r="B108" s="18"/>
      <c r="C108" s="18"/>
      <c r="D108" s="18"/>
      <c r="E108" s="435"/>
      <c r="F108" s="435"/>
      <c r="G108" s="449">
        <f t="shared" si="7"/>
        <v>12.5</v>
      </c>
      <c r="H108" s="444"/>
      <c r="I108" s="445"/>
      <c r="J108" s="445"/>
      <c r="K108" s="445"/>
      <c r="L108" s="445"/>
      <c r="M108" s="445"/>
      <c r="N108" s="445"/>
      <c r="O108" s="445"/>
      <c r="P108" s="446"/>
      <c r="Q108" s="18"/>
      <c r="R108" s="18"/>
      <c r="U108" s="190"/>
      <c r="V108" s="190"/>
      <c r="W108" s="190"/>
    </row>
    <row r="109" spans="1:23" s="192" customFormat="1" ht="13" customHeight="1">
      <c r="A109" s="89"/>
      <c r="B109" s="18"/>
      <c r="C109" s="18"/>
      <c r="D109" s="18"/>
      <c r="E109" s="18"/>
      <c r="F109" s="18"/>
      <c r="G109" s="18"/>
      <c r="H109" s="18"/>
      <c r="I109" s="18"/>
      <c r="J109" s="18"/>
      <c r="K109" s="18"/>
      <c r="L109" s="18"/>
      <c r="M109" s="18"/>
      <c r="N109" s="18"/>
      <c r="O109" s="18"/>
      <c r="P109" s="18"/>
      <c r="Q109" s="18"/>
      <c r="R109" s="18"/>
      <c r="U109" s="190"/>
      <c r="V109" s="190"/>
      <c r="W109" s="190"/>
    </row>
    <row r="110" spans="1:23" s="192" customFormat="1" ht="13" customHeight="1">
      <c r="A110" s="89"/>
      <c r="B110" s="18"/>
      <c r="C110" s="18"/>
      <c r="D110" s="18"/>
      <c r="E110" s="18"/>
      <c r="F110" s="18"/>
      <c r="G110" s="458">
        <v>0.5</v>
      </c>
      <c r="H110" s="18"/>
      <c r="I110" s="18"/>
      <c r="J110" s="18"/>
      <c r="K110" s="18"/>
      <c r="L110" s="18"/>
      <c r="M110" s="18"/>
      <c r="N110" s="18"/>
      <c r="O110" s="18"/>
      <c r="P110" s="18"/>
      <c r="Q110" s="18"/>
      <c r="R110" s="18"/>
      <c r="U110" s="190"/>
      <c r="V110" s="190"/>
      <c r="W110" s="190"/>
    </row>
    <row r="111" spans="1:23" s="192" customFormat="1" ht="13" customHeight="1">
      <c r="A111" s="89"/>
      <c r="U111" s="190"/>
      <c r="V111" s="190"/>
      <c r="W111" s="190"/>
    </row>
    <row r="112" spans="1:23" s="192" customFormat="1" ht="13" customHeight="1">
      <c r="A112" s="89" t="s">
        <v>118</v>
      </c>
      <c r="U112" s="190"/>
      <c r="V112" s="190"/>
      <c r="W112" s="190"/>
    </row>
    <row r="113" spans="1:23" s="192" customFormat="1" ht="13" customHeight="1">
      <c r="A113" s="89"/>
      <c r="U113" s="190"/>
      <c r="V113" s="190"/>
      <c r="W113" s="190"/>
    </row>
    <row r="114" spans="1:23" s="192" customFormat="1" ht="13" customHeight="1">
      <c r="A114" s="89"/>
      <c r="U114" s="190"/>
      <c r="V114" s="190"/>
      <c r="W114" s="190"/>
    </row>
    <row r="115" spans="1:23" s="192" customFormat="1" ht="13" customHeight="1">
      <c r="A115" s="89" t="s">
        <v>118</v>
      </c>
      <c r="B115" s="89" t="s">
        <v>62</v>
      </c>
      <c r="U115" s="190"/>
      <c r="V115" s="190"/>
      <c r="W115" s="190"/>
    </row>
  </sheetData>
  <protectedRanges>
    <protectedRange sqref="P32" name="Range1_1"/>
    <protectedRange sqref="J32" name="Range1_2"/>
  </protectedRanges>
  <customSheetViews>
    <customSheetView guid="{5A4827F7-D52D-44AD-B257-2AB13F875B96}" showGridLines="0" fitToPage="1" hiddenRows="1" state="hidden">
      <pageMargins left="0.5" right="0.5" top="0.7" bottom="0.65" header="0.25" footer="0.25"/>
      <printOptions horizontalCentered="1"/>
      <pageSetup scale="78" orientation="landscape" r:id="rId1"/>
      <headerFooter alignWithMargins="0">
        <oddFooter>&amp;L&amp;8COPYRIGHT 2011 © by Training The Street, Inc&amp;C&amp;8&amp;G&amp;R&amp;8For training purposes only!</oddFooter>
      </headerFooter>
    </customSheetView>
  </customSheetViews>
  <phoneticPr fontId="10" type="noConversion"/>
  <conditionalFormatting sqref="P33:P34 P38 P30 P36 J38 J30 J33:J34 J36">
    <cfRule type="cellIs" dxfId="0" priority="1" stopIfTrue="1" operator="equal">
      <formula>0.000001</formula>
    </cfRule>
  </conditionalFormatting>
  <printOptions horizontalCentered="1"/>
  <pageMargins left="0.5" right="0.5" top="0.7" bottom="0.65" header="0.25" footer="0.25"/>
  <pageSetup scale="78" orientation="landscape" r:id="rId2"/>
  <headerFooter alignWithMargins="0">
    <oddFooter>&amp;L&amp;8COPYRIGHT 2011 © by Training The Street, Inc&amp;C&amp;8&amp;G&amp;R&amp;8For training purposes only!</oddFooter>
  </headerFooter>
  <drawing r:id="rId3"/>
  <legacyDrawing r:id="rId4"/>
  <legacyDrawingHF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2:T78"/>
  <sheetViews>
    <sheetView topLeftCell="A10" workbookViewId="0">
      <selection activeCell="C31" sqref="C31"/>
    </sheetView>
  </sheetViews>
  <sheetFormatPr defaultColWidth="8.81640625" defaultRowHeight="13"/>
  <cols>
    <col min="2" max="2" width="10.5" customWidth="1"/>
    <col min="3" max="3" width="8.5" customWidth="1"/>
    <col min="4" max="4" width="7.81640625" bestFit="1" customWidth="1"/>
    <col min="5" max="5" width="13.6796875" customWidth="1"/>
    <col min="6" max="6" width="11.1796875" customWidth="1"/>
    <col min="7" max="7" width="9.1796875" customWidth="1"/>
    <col min="8" max="8" width="13.1796875" customWidth="1"/>
    <col min="9" max="9" width="9.1796875" customWidth="1"/>
    <col min="10" max="10" width="10.5" customWidth="1"/>
    <col min="11" max="11" width="9.1796875" customWidth="1"/>
    <col min="12" max="12" width="13.5" customWidth="1"/>
    <col min="13" max="13" width="10.5" customWidth="1"/>
  </cols>
  <sheetData>
    <row r="2" spans="2:13" s="4" customFormat="1" ht="24" customHeight="1">
      <c r="B2" s="1221" t="s">
        <v>740</v>
      </c>
      <c r="C2" s="1221" t="s">
        <v>1091</v>
      </c>
      <c r="D2" s="1221" t="s">
        <v>132</v>
      </c>
      <c r="E2" s="1221" t="s">
        <v>1125</v>
      </c>
      <c r="F2" s="1221" t="s">
        <v>1123</v>
      </c>
      <c r="G2" s="1221" t="s">
        <v>1124</v>
      </c>
      <c r="H2" s="1221" t="s">
        <v>1122</v>
      </c>
      <c r="I2" s="1221" t="s">
        <v>1130</v>
      </c>
      <c r="J2" s="1221" t="s">
        <v>1127</v>
      </c>
      <c r="K2" s="1221" t="s">
        <v>1128</v>
      </c>
      <c r="L2" s="1221" t="s">
        <v>1149</v>
      </c>
      <c r="M2" s="1221" t="s">
        <v>1150</v>
      </c>
    </row>
    <row r="3" spans="2:13">
      <c r="B3" s="93" t="s">
        <v>1093</v>
      </c>
      <c r="C3">
        <v>47.58</v>
      </c>
      <c r="D3">
        <v>1.77</v>
      </c>
      <c r="E3" s="1172">
        <f>C3/SUM(D4:D7)</f>
        <v>11.633251833740831</v>
      </c>
      <c r="F3">
        <v>44.33</v>
      </c>
      <c r="G3">
        <v>1.54</v>
      </c>
      <c r="H3" s="1172">
        <f>F3/SUM(G4:G7)</f>
        <v>10.167431192660549</v>
      </c>
      <c r="I3" s="1192">
        <f>E3/H3</f>
        <v>1.1441682381030911</v>
      </c>
      <c r="J3" s="1172">
        <v>1378.55</v>
      </c>
      <c r="K3" s="1194">
        <v>15.54</v>
      </c>
      <c r="L3" s="1172">
        <f>J3/SUM(K4:K7)</f>
        <v>200.95481049562684</v>
      </c>
      <c r="M3" s="1192">
        <f t="shared" ref="M3:M14" si="0">E3/L3</f>
        <v>5.7889889796860536E-2</v>
      </c>
    </row>
    <row r="4" spans="2:13">
      <c r="B4" s="93" t="s">
        <v>1094</v>
      </c>
      <c r="C4">
        <v>48.98</v>
      </c>
      <c r="D4">
        <v>1.27</v>
      </c>
      <c r="E4" s="1172">
        <f t="shared" ref="E4:E14" si="1">C4/SUM(D5:D8)</f>
        <v>11.233944954128441</v>
      </c>
      <c r="F4">
        <v>46.73</v>
      </c>
      <c r="G4">
        <v>1.54</v>
      </c>
      <c r="H4" s="1172">
        <f t="shared" ref="H4:H9" si="2">F4/SUM(G5:G8)</f>
        <v>11.425427872860636</v>
      </c>
      <c r="I4" s="1192">
        <f t="shared" ref="I4:I14" si="3">E4/H4</f>
        <v>0.98324063476108114</v>
      </c>
      <c r="J4" s="1172">
        <v>1385.59</v>
      </c>
      <c r="K4" s="1195">
        <v>12.86</v>
      </c>
      <c r="L4" s="1172">
        <f>J4/SUM(K5:K8)</f>
        <v>184.49933422103862</v>
      </c>
      <c r="M4" s="1192">
        <f t="shared" si="0"/>
        <v>6.0888810258088316E-2</v>
      </c>
    </row>
    <row r="5" spans="2:13">
      <c r="B5" s="93" t="s">
        <v>1095</v>
      </c>
      <c r="C5">
        <v>44.71</v>
      </c>
      <c r="D5">
        <v>0.73</v>
      </c>
      <c r="E5" s="1172">
        <f t="shared" si="1"/>
        <v>8.4041353383458652</v>
      </c>
      <c r="F5">
        <v>41.15</v>
      </c>
      <c r="G5">
        <v>0.36</v>
      </c>
      <c r="H5" s="1172">
        <f t="shared" si="2"/>
        <v>7.6486988847583639</v>
      </c>
      <c r="I5" s="1192">
        <f t="shared" si="3"/>
        <v>1.0987666614896903</v>
      </c>
      <c r="J5" s="1172">
        <v>1267.3800000000001</v>
      </c>
      <c r="K5" s="1195">
        <v>9.73</v>
      </c>
      <c r="L5" s="1172">
        <f>J5/SUM(K6:K9)</f>
        <v>101.06698564593303</v>
      </c>
      <c r="M5" s="1192">
        <f t="shared" si="0"/>
        <v>8.3154110955559607E-2</v>
      </c>
    </row>
    <row r="6" spans="2:13">
      <c r="B6" s="93" t="s">
        <v>1096</v>
      </c>
      <c r="C6">
        <v>48.78</v>
      </c>
      <c r="D6">
        <v>1.1399999999999999</v>
      </c>
      <c r="E6" s="1172">
        <f t="shared" si="1"/>
        <v>7.8932038834951461</v>
      </c>
      <c r="F6">
        <v>39.97</v>
      </c>
      <c r="G6">
        <v>1.35</v>
      </c>
      <c r="H6" s="1172">
        <f t="shared" si="2"/>
        <v>6.3044164037854893</v>
      </c>
      <c r="I6" s="1192">
        <f t="shared" si="3"/>
        <v>1.2520118244022822</v>
      </c>
      <c r="J6" s="1172">
        <v>968.75</v>
      </c>
      <c r="K6" s="1194">
        <v>-23.25</v>
      </c>
      <c r="L6" s="1172">
        <f>J6/SUM(K7:K10)</f>
        <v>19.006278202864429</v>
      </c>
      <c r="M6" s="1192">
        <f t="shared" si="0"/>
        <v>0.4152945568430943</v>
      </c>
    </row>
    <row r="7" spans="2:13">
      <c r="B7" s="93" t="s">
        <v>1097</v>
      </c>
      <c r="C7">
        <v>40.130000000000003</v>
      </c>
      <c r="D7">
        <v>0.95</v>
      </c>
      <c r="E7" s="1172">
        <f t="shared" si="1"/>
        <v>6.2998430141287285</v>
      </c>
      <c r="F7">
        <v>36.549999999999997</v>
      </c>
      <c r="G7">
        <v>1.1100000000000001</v>
      </c>
      <c r="H7" s="1172">
        <f t="shared" si="2"/>
        <v>5.6404320987654311</v>
      </c>
      <c r="I7" s="1192">
        <f t="shared" si="3"/>
        <v>1.1169078722723438</v>
      </c>
      <c r="J7" s="1172">
        <v>825.88</v>
      </c>
      <c r="K7" s="1194">
        <v>7.52</v>
      </c>
      <c r="L7" s="1172">
        <f t="shared" ref="L7:L13" si="4">J7/SUM(K8:K11)</f>
        <v>13.554570818972589</v>
      </c>
      <c r="M7" s="1192">
        <f t="shared" si="0"/>
        <v>0.46477628087720185</v>
      </c>
    </row>
    <row r="8" spans="2:13">
      <c r="B8" s="93" t="s">
        <v>1098</v>
      </c>
      <c r="C8">
        <v>37.03</v>
      </c>
      <c r="D8">
        <v>1.54</v>
      </c>
      <c r="E8" s="1172">
        <f t="shared" si="1"/>
        <v>5.9342948717948714</v>
      </c>
      <c r="F8">
        <v>39.26</v>
      </c>
      <c r="G8">
        <v>1.27</v>
      </c>
      <c r="H8" s="1172">
        <f t="shared" si="2"/>
        <v>5.9847560975609753</v>
      </c>
      <c r="I8" s="1192">
        <f t="shared" si="3"/>
        <v>0.99156837389134889</v>
      </c>
      <c r="J8" s="1172">
        <v>872.81</v>
      </c>
      <c r="K8" s="1196">
        <v>13.51</v>
      </c>
      <c r="L8" s="1172">
        <f t="shared" si="4"/>
        <v>13.007600596125187</v>
      </c>
      <c r="M8" s="1192">
        <f t="shared" si="0"/>
        <v>0.45621748822474062</v>
      </c>
    </row>
    <row r="9" spans="2:13">
      <c r="B9" s="93" t="s">
        <v>1099</v>
      </c>
      <c r="C9">
        <v>44.3</v>
      </c>
      <c r="D9">
        <v>1.69</v>
      </c>
      <c r="E9" s="1172">
        <f t="shared" si="1"/>
        <v>7.0993589743589736</v>
      </c>
      <c r="F9">
        <v>41.38</v>
      </c>
      <c r="G9">
        <v>1.65</v>
      </c>
      <c r="H9" s="1172">
        <f t="shared" si="2"/>
        <v>5.8945868945868956</v>
      </c>
      <c r="I9" s="1192">
        <f t="shared" si="3"/>
        <v>1.2043861768970514</v>
      </c>
      <c r="J9" s="1172">
        <v>987.48</v>
      </c>
      <c r="K9" s="1196">
        <v>14.76</v>
      </c>
      <c r="L9" s="1172">
        <f t="shared" si="4"/>
        <v>13.741720011132758</v>
      </c>
      <c r="M9" s="1192">
        <f t="shared" si="0"/>
        <v>0.51662811995932667</v>
      </c>
    </row>
    <row r="10" spans="2:13">
      <c r="B10" s="93" t="s">
        <v>1100</v>
      </c>
      <c r="C10">
        <v>46.87</v>
      </c>
      <c r="D10">
        <v>2</v>
      </c>
      <c r="E10" s="1172">
        <f t="shared" si="1"/>
        <v>7.9038785834738619</v>
      </c>
      <c r="F10">
        <v>48.13</v>
      </c>
      <c r="G10">
        <v>2.31</v>
      </c>
      <c r="H10" s="1172">
        <f>F10/SUM(G11:G14)</f>
        <v>7.2924242424242429</v>
      </c>
      <c r="I10" s="1192">
        <f t="shared" si="3"/>
        <v>1.0838478838754932</v>
      </c>
      <c r="J10" s="1172">
        <v>1036.19</v>
      </c>
      <c r="K10" s="1194">
        <v>15.18</v>
      </c>
      <c r="L10" s="1172">
        <f t="shared" si="4"/>
        <v>13.446535167402027</v>
      </c>
      <c r="M10" s="1192">
        <f t="shared" si="0"/>
        <v>0.58780038761471898</v>
      </c>
    </row>
    <row r="11" spans="2:13">
      <c r="B11" s="93" t="s">
        <v>1101</v>
      </c>
      <c r="C11">
        <v>48.66</v>
      </c>
      <c r="D11">
        <v>1.1399999999999999</v>
      </c>
      <c r="E11" s="1172">
        <f t="shared" si="1"/>
        <v>7.892944038929441</v>
      </c>
      <c r="F11">
        <v>49.3</v>
      </c>
      <c r="G11">
        <v>1.25</v>
      </c>
      <c r="H11" s="1172">
        <f>F11/SUM(G12:G15)</f>
        <v>7.2446730345334309</v>
      </c>
      <c r="I11" s="1192">
        <f t="shared" si="3"/>
        <v>1.0894824378278873</v>
      </c>
      <c r="J11" s="1172">
        <v>1073.8699999999999</v>
      </c>
      <c r="K11" s="1194">
        <v>17.48</v>
      </c>
      <c r="L11" s="1172">
        <f t="shared" si="4"/>
        <v>12.773522064945878</v>
      </c>
      <c r="M11" s="1192">
        <f t="shared" si="0"/>
        <v>0.61791446390419524</v>
      </c>
    </row>
    <row r="12" spans="2:13">
      <c r="B12" s="93" t="s">
        <v>1102</v>
      </c>
      <c r="C12">
        <v>51.83</v>
      </c>
      <c r="D12">
        <v>1.41</v>
      </c>
      <c r="E12" s="1172">
        <f t="shared" si="1"/>
        <v>8.455138662316477</v>
      </c>
      <c r="F12">
        <v>49.67</v>
      </c>
      <c r="G12">
        <v>1.35</v>
      </c>
      <c r="H12" s="1172">
        <f>F12/SUM(G13:G16)</f>
        <v>7.1881331403762667</v>
      </c>
      <c r="I12" s="1192">
        <f t="shared" si="3"/>
        <v>1.176263502246967</v>
      </c>
      <c r="J12" s="1172">
        <v>1186.69</v>
      </c>
      <c r="K12" s="1194">
        <v>19.68</v>
      </c>
      <c r="L12" s="1172">
        <f t="shared" si="4"/>
        <v>13.551330364280005</v>
      </c>
      <c r="M12" s="1192">
        <f t="shared" si="0"/>
        <v>0.62393421420847384</v>
      </c>
    </row>
    <row r="13" spans="2:13">
      <c r="B13" s="93" t="s">
        <v>1103</v>
      </c>
      <c r="C13">
        <v>51.96</v>
      </c>
      <c r="D13">
        <v>1.69</v>
      </c>
      <c r="E13" s="1172">
        <f t="shared" si="1"/>
        <v>8.935511607910577</v>
      </c>
      <c r="F13">
        <v>49.76</v>
      </c>
      <c r="G13">
        <v>2.11</v>
      </c>
      <c r="H13" s="1172">
        <f>F13/SUM(G14:G17)</f>
        <v>7.955235811350919</v>
      </c>
      <c r="I13" s="1192">
        <f t="shared" si="3"/>
        <v>1.1232239772403669</v>
      </c>
      <c r="J13" s="1172">
        <v>1101.5999999999999</v>
      </c>
      <c r="K13" s="1196">
        <v>19.52</v>
      </c>
      <c r="L13" s="1172">
        <f t="shared" si="4"/>
        <v>12.049879676219645</v>
      </c>
      <c r="M13" s="1192">
        <f t="shared" si="0"/>
        <v>0.74154363761363928</v>
      </c>
    </row>
    <row r="14" spans="2:13">
      <c r="B14" s="93" t="s">
        <v>1104</v>
      </c>
      <c r="C14">
        <v>57.66</v>
      </c>
      <c r="D14">
        <v>1.69</v>
      </c>
      <c r="E14" s="1172">
        <f t="shared" si="1"/>
        <v>10.483636363636363</v>
      </c>
      <c r="F14">
        <v>54.84</v>
      </c>
      <c r="G14">
        <v>1.89</v>
      </c>
      <c r="H14" s="1172">
        <f>F14/SUM(G15:G18)</f>
        <v>9.4226804123711343</v>
      </c>
      <c r="I14" s="1192">
        <f t="shared" si="3"/>
        <v>1.1125959816988262</v>
      </c>
      <c r="J14" s="1172">
        <v>1183.26</v>
      </c>
      <c r="K14" s="1198">
        <v>20.38</v>
      </c>
      <c r="L14" s="1172">
        <f>J14/SUM(K15:K18)</f>
        <v>12.750646551724136</v>
      </c>
      <c r="M14" s="1192">
        <f t="shared" si="0"/>
        <v>0.82220429537502715</v>
      </c>
    </row>
    <row r="15" spans="2:13">
      <c r="B15" s="93" t="s">
        <v>1105</v>
      </c>
      <c r="C15">
        <v>57.93</v>
      </c>
      <c r="D15" s="1172">
        <f>5.5/4</f>
        <v>1.375</v>
      </c>
      <c r="E15" s="1172">
        <f>C15/SUM(D16:D20)</f>
        <v>10.018158236057069</v>
      </c>
      <c r="F15">
        <v>56.26</v>
      </c>
      <c r="G15">
        <f>5.82/4</f>
        <v>1.4550000000000001</v>
      </c>
      <c r="H15" s="1172"/>
      <c r="J15" s="1172">
        <v>1286.1199999999999</v>
      </c>
      <c r="K15" s="1198">
        <v>24.49</v>
      </c>
      <c r="L15" s="1172">
        <f>J15/SUM(K16:K19)</f>
        <v>14.03142046694305</v>
      </c>
    </row>
    <row r="16" spans="2:13">
      <c r="B16" s="93" t="s">
        <v>1106</v>
      </c>
      <c r="D16" s="1172">
        <f>5.5/4</f>
        <v>1.375</v>
      </c>
      <c r="G16">
        <f>5.82/4</f>
        <v>1.4550000000000001</v>
      </c>
      <c r="J16" s="4"/>
      <c r="K16" s="1198">
        <v>23.18</v>
      </c>
    </row>
    <row r="17" spans="1:20">
      <c r="B17" s="93" t="s">
        <v>1107</v>
      </c>
      <c r="D17" s="1172">
        <f>5.5/4</f>
        <v>1.375</v>
      </c>
      <c r="G17">
        <f>5.82/4</f>
        <v>1.4550000000000001</v>
      </c>
      <c r="K17" s="1198">
        <v>23.37</v>
      </c>
    </row>
    <row r="18" spans="1:20">
      <c r="B18" s="93" t="s">
        <v>1108</v>
      </c>
      <c r="D18" s="1172">
        <f>5.5/4</f>
        <v>1.375</v>
      </c>
      <c r="G18">
        <f>5.82/4</f>
        <v>1.4550000000000001</v>
      </c>
      <c r="J18" s="4"/>
      <c r="K18" s="1198">
        <v>21.76</v>
      </c>
    </row>
    <row r="19" spans="1:20">
      <c r="B19" s="93" t="s">
        <v>1121</v>
      </c>
      <c r="D19" s="1172">
        <f>6.63/4</f>
        <v>1.6575</v>
      </c>
      <c r="J19" s="4"/>
      <c r="K19" s="1199">
        <v>23.35</v>
      </c>
    </row>
    <row r="20" spans="1:20">
      <c r="B20" s="112">
        <v>1</v>
      </c>
      <c r="C20" s="93" t="s">
        <v>1092</v>
      </c>
    </row>
    <row r="21" spans="1:20">
      <c r="B21" s="113">
        <f>B20+1</f>
        <v>2</v>
      </c>
      <c r="C21" s="93" t="s">
        <v>1126</v>
      </c>
    </row>
    <row r="22" spans="1:20">
      <c r="B22" s="1197" t="s">
        <v>1129</v>
      </c>
    </row>
    <row r="23" spans="1:20" ht="13.75" thickBot="1"/>
    <row r="24" spans="1:20" ht="13.75" thickBot="1">
      <c r="B24" s="113"/>
      <c r="M24" s="1176"/>
      <c r="N24" s="1177" t="s">
        <v>1109</v>
      </c>
      <c r="O24" s="1178" t="s">
        <v>1110</v>
      </c>
      <c r="P24" s="1179" t="s">
        <v>1111</v>
      </c>
      <c r="Q24" s="1179" t="s">
        <v>1112</v>
      </c>
      <c r="R24" s="1179" t="s">
        <v>1113</v>
      </c>
      <c r="S24" s="1179" t="s">
        <v>1114</v>
      </c>
      <c r="T24" s="1180" t="s">
        <v>1115</v>
      </c>
    </row>
    <row r="25" spans="1:20" ht="14.5" thickTop="1" thickBot="1">
      <c r="B25" s="113"/>
      <c r="M25" s="1181" t="s">
        <v>1116</v>
      </c>
      <c r="N25" s="1173">
        <v>1.04</v>
      </c>
      <c r="O25" s="1174">
        <v>1.67</v>
      </c>
      <c r="P25" s="1175">
        <v>1.1100000000000001</v>
      </c>
      <c r="Q25" s="1174">
        <v>0.55000000000000004</v>
      </c>
      <c r="R25" s="1175">
        <v>0.9</v>
      </c>
      <c r="S25" s="1175">
        <v>0.87</v>
      </c>
      <c r="T25" s="1182">
        <v>1.47</v>
      </c>
    </row>
    <row r="26" spans="1:20" ht="13.75" thickBot="1">
      <c r="M26" s="1181" t="s">
        <v>1117</v>
      </c>
      <c r="N26" s="1173">
        <v>0.61</v>
      </c>
      <c r="O26" s="1175"/>
      <c r="P26" s="1174">
        <v>1.05</v>
      </c>
      <c r="Q26" s="1174">
        <v>0.9</v>
      </c>
      <c r="R26" s="1174">
        <v>2.25</v>
      </c>
      <c r="S26" s="1175">
        <v>0.7</v>
      </c>
      <c r="T26" s="1182">
        <v>1.1000000000000001</v>
      </c>
    </row>
    <row r="27" spans="1:20" ht="13.75" thickBot="1">
      <c r="M27" s="1181" t="s">
        <v>1118</v>
      </c>
      <c r="N27" s="1173">
        <v>23.15</v>
      </c>
      <c r="O27" s="1174">
        <v>9.86</v>
      </c>
      <c r="P27" s="1174">
        <v>8.6999999999999993</v>
      </c>
      <c r="Q27" s="1175">
        <v>18.62</v>
      </c>
      <c r="R27" s="1174">
        <v>12.67</v>
      </c>
      <c r="S27" s="1174">
        <v>15.01</v>
      </c>
      <c r="T27" s="1182">
        <v>14.76</v>
      </c>
    </row>
    <row r="28" spans="1:20" ht="13.75" thickBot="1">
      <c r="A28" s="1189">
        <v>40546</v>
      </c>
      <c r="B28" s="1193">
        <v>1257.6199999999999</v>
      </c>
      <c r="C28" s="1193">
        <v>1302.67</v>
      </c>
      <c r="D28" s="1193">
        <v>1257.6199999999999</v>
      </c>
      <c r="E28" s="1193">
        <v>1286.1199999999999</v>
      </c>
      <c r="F28" s="1191">
        <v>4816605000</v>
      </c>
      <c r="G28" s="1193">
        <v>1286.1199999999999</v>
      </c>
      <c r="J28" s="1170"/>
      <c r="K28" s="1171"/>
      <c r="M28" s="1181" t="s">
        <v>1119</v>
      </c>
      <c r="N28" s="1173">
        <v>28.2</v>
      </c>
      <c r="O28" s="1174">
        <v>10.59</v>
      </c>
      <c r="P28" s="1174">
        <v>9.6999999999999993</v>
      </c>
      <c r="Q28" s="1174">
        <v>9.0299999999999994</v>
      </c>
      <c r="R28" s="1174">
        <v>13.16</v>
      </c>
      <c r="S28" s="1174">
        <v>11.26</v>
      </c>
      <c r="T28" s="1183">
        <v>23.05</v>
      </c>
    </row>
    <row r="29" spans="1:20" ht="13.5" customHeight="1" thickBot="1">
      <c r="A29" s="1189">
        <v>40513</v>
      </c>
      <c r="B29" s="1193">
        <v>1186.5999999999999</v>
      </c>
      <c r="C29" s="1193">
        <v>1262.5999999999999</v>
      </c>
      <c r="D29" s="1193">
        <v>1186.5999999999999</v>
      </c>
      <c r="E29" s="1193">
        <v>1257.6400000000001</v>
      </c>
      <c r="F29" s="1191">
        <v>3762922700</v>
      </c>
      <c r="G29" s="1193">
        <v>1257.6400000000001</v>
      </c>
      <c r="J29" s="1170"/>
      <c r="K29" s="1171"/>
      <c r="M29" s="1184" t="s">
        <v>1120</v>
      </c>
      <c r="N29" s="1185">
        <v>1.18</v>
      </c>
      <c r="O29" s="1186">
        <v>1.43</v>
      </c>
      <c r="P29" s="1186">
        <v>1.1100000000000001</v>
      </c>
      <c r="Q29" s="1187">
        <v>0.61</v>
      </c>
      <c r="R29" s="1187">
        <v>0.87</v>
      </c>
      <c r="S29" s="1186">
        <v>1.08</v>
      </c>
      <c r="T29" s="1188">
        <v>1.5</v>
      </c>
    </row>
    <row r="30" spans="1:20">
      <c r="A30" s="1189">
        <v>40483</v>
      </c>
      <c r="B30" s="1193">
        <v>1185.71</v>
      </c>
      <c r="C30" s="1193">
        <v>1227.08</v>
      </c>
      <c r="D30" s="1193">
        <v>1173</v>
      </c>
      <c r="E30" s="1193">
        <v>1180.55</v>
      </c>
      <c r="F30" s="1191">
        <v>4354084200</v>
      </c>
      <c r="G30" s="1193">
        <v>1180.55</v>
      </c>
      <c r="J30" s="1170"/>
      <c r="K30" s="1171"/>
    </row>
    <row r="31" spans="1:20">
      <c r="A31" s="1189">
        <v>40452</v>
      </c>
      <c r="B31" s="1193">
        <v>1143.49</v>
      </c>
      <c r="C31" s="1193">
        <v>1196.1400000000001</v>
      </c>
      <c r="D31" s="1193">
        <v>1131.8699999999999</v>
      </c>
      <c r="E31" s="1193">
        <v>1183.26</v>
      </c>
      <c r="F31" s="1191">
        <v>4432102300</v>
      </c>
      <c r="G31" s="1193">
        <v>1183.26</v>
      </c>
      <c r="J31" s="1170"/>
      <c r="K31" s="1171"/>
    </row>
    <row r="32" spans="1:20">
      <c r="A32" s="1189">
        <v>40422</v>
      </c>
      <c r="B32" s="1193">
        <v>1049.72</v>
      </c>
      <c r="C32" s="1193">
        <v>1157.1600000000001</v>
      </c>
      <c r="D32" s="1193">
        <v>1049.72</v>
      </c>
      <c r="E32" s="1193">
        <v>1141.2</v>
      </c>
      <c r="F32" s="1191">
        <v>3993981400</v>
      </c>
      <c r="G32" s="1193">
        <v>1141.2</v>
      </c>
      <c r="J32" s="1170"/>
      <c r="K32" s="1171"/>
    </row>
    <row r="33" spans="1:11" ht="12.75" customHeight="1">
      <c r="A33" s="1189">
        <v>40392</v>
      </c>
      <c r="B33" s="1193">
        <v>1107.53</v>
      </c>
      <c r="C33" s="1193">
        <v>1129.24</v>
      </c>
      <c r="D33" s="1193">
        <v>1039.7</v>
      </c>
      <c r="E33" s="1193">
        <v>1049.33</v>
      </c>
      <c r="F33" s="1191">
        <v>4044967700</v>
      </c>
      <c r="G33" s="1193">
        <v>1049.33</v>
      </c>
      <c r="J33" s="1170"/>
      <c r="K33" s="1171"/>
    </row>
    <row r="34" spans="1:11">
      <c r="A34" s="1189">
        <v>40360</v>
      </c>
      <c r="B34" s="1193">
        <v>1031.0999999999999</v>
      </c>
      <c r="C34" s="1193">
        <v>1120.95</v>
      </c>
      <c r="D34" s="1193">
        <v>1010.91</v>
      </c>
      <c r="E34" s="1193">
        <v>1101.5999999999999</v>
      </c>
      <c r="F34" s="1191">
        <v>4704026600</v>
      </c>
      <c r="G34" s="1193">
        <v>1101.5999999999999</v>
      </c>
      <c r="J34" s="1170"/>
      <c r="K34" s="1171"/>
    </row>
    <row r="35" spans="1:11">
      <c r="A35" s="1189">
        <v>40330</v>
      </c>
      <c r="B35" s="1193">
        <v>1087.3</v>
      </c>
      <c r="C35" s="1193">
        <v>1131.23</v>
      </c>
      <c r="D35" s="1193">
        <v>1028.33</v>
      </c>
      <c r="E35" s="1193">
        <v>1030.71</v>
      </c>
      <c r="F35" s="1191">
        <v>5235174000</v>
      </c>
      <c r="G35" s="1193">
        <v>1030.71</v>
      </c>
      <c r="J35" s="1170"/>
      <c r="K35" s="1171"/>
    </row>
    <row r="36" spans="1:11">
      <c r="A36" s="1189">
        <v>40301</v>
      </c>
      <c r="B36" s="1193">
        <v>1188.58</v>
      </c>
      <c r="C36" s="1193">
        <v>1205.1300000000001</v>
      </c>
      <c r="D36" s="1193">
        <v>1040.78</v>
      </c>
      <c r="E36" s="1193">
        <v>1089.4100000000001</v>
      </c>
      <c r="F36" s="1191">
        <v>6626699400</v>
      </c>
      <c r="G36" s="1193">
        <v>1089.4100000000001</v>
      </c>
      <c r="J36" s="1170"/>
      <c r="K36" s="1171"/>
    </row>
    <row r="37" spans="1:11" ht="12.75" customHeight="1">
      <c r="A37" s="1189">
        <v>40269</v>
      </c>
      <c r="B37" s="1193">
        <v>1171.23</v>
      </c>
      <c r="C37" s="1193">
        <v>1219.8</v>
      </c>
      <c r="D37" s="1193">
        <v>1170.69</v>
      </c>
      <c r="E37" s="1193">
        <v>1186.69</v>
      </c>
      <c r="F37" s="1191">
        <v>5847150900</v>
      </c>
      <c r="G37" s="1193">
        <v>1186.69</v>
      </c>
      <c r="J37" s="1170"/>
      <c r="K37" s="1171"/>
    </row>
    <row r="38" spans="1:11">
      <c r="A38" s="1189">
        <v>40238</v>
      </c>
      <c r="B38" s="1193">
        <v>1105.3599999999999</v>
      </c>
      <c r="C38" s="1193">
        <v>1180.69</v>
      </c>
      <c r="D38" s="1193">
        <v>1105.3599999999999</v>
      </c>
      <c r="E38" s="1193">
        <v>1169.43</v>
      </c>
      <c r="F38" s="1191">
        <v>4702951700</v>
      </c>
      <c r="G38" s="1193">
        <v>1169.43</v>
      </c>
      <c r="J38" s="1170"/>
      <c r="K38" s="1171"/>
    </row>
    <row r="39" spans="1:11">
      <c r="A39" s="1189">
        <v>40210</v>
      </c>
      <c r="B39" s="1193">
        <v>1073.8900000000001</v>
      </c>
      <c r="C39" s="1193">
        <v>1112.42</v>
      </c>
      <c r="D39" s="1193">
        <v>1044.5</v>
      </c>
      <c r="E39" s="1193">
        <v>1104.49</v>
      </c>
      <c r="F39" s="1191">
        <v>4658238400</v>
      </c>
      <c r="G39" s="1193">
        <v>1104.49</v>
      </c>
      <c r="J39" s="1170"/>
      <c r="K39" s="1171"/>
    </row>
    <row r="40" spans="1:11">
      <c r="A40" s="1189">
        <v>40182</v>
      </c>
      <c r="B40" s="1193">
        <v>1116.56</v>
      </c>
      <c r="C40" s="1193">
        <v>1150.45</v>
      </c>
      <c r="D40" s="1193">
        <v>1071.5899999999999</v>
      </c>
      <c r="E40" s="1193">
        <v>1073.8699999999999</v>
      </c>
      <c r="F40" s="1191">
        <v>5071601500</v>
      </c>
      <c r="G40" s="1193">
        <v>1073.8699999999999</v>
      </c>
      <c r="J40" s="1170"/>
      <c r="K40" s="1171"/>
    </row>
    <row r="41" spans="1:11" ht="12.75" customHeight="1">
      <c r="A41" s="1189">
        <v>40148</v>
      </c>
      <c r="B41" s="1193">
        <v>1098.8900000000001</v>
      </c>
      <c r="C41" s="1193">
        <v>1130.3800000000001</v>
      </c>
      <c r="D41" s="1193">
        <v>1085.8900000000001</v>
      </c>
      <c r="E41" s="1193">
        <v>1115.0999999999999</v>
      </c>
      <c r="F41" s="1191">
        <v>4163287200</v>
      </c>
      <c r="G41" s="1193">
        <v>1115.0999999999999</v>
      </c>
      <c r="J41" s="1170"/>
      <c r="K41" s="1171"/>
    </row>
    <row r="42" spans="1:11">
      <c r="A42" s="1189">
        <v>40119</v>
      </c>
      <c r="B42" s="1193">
        <v>1036.18</v>
      </c>
      <c r="C42" s="1193">
        <v>1113.69</v>
      </c>
      <c r="D42" s="1193">
        <v>1029.3800000000001</v>
      </c>
      <c r="E42" s="1193">
        <v>1095.6300000000001</v>
      </c>
      <c r="F42" s="1191">
        <v>4443852500</v>
      </c>
      <c r="G42" s="1193">
        <v>1095.6300000000001</v>
      </c>
      <c r="J42" s="1170"/>
      <c r="K42" s="1171"/>
    </row>
    <row r="43" spans="1:11">
      <c r="A43" s="1189">
        <v>40087</v>
      </c>
      <c r="B43" s="1193">
        <v>1054.9100000000001</v>
      </c>
      <c r="C43" s="1193">
        <v>1101.3599999999999</v>
      </c>
      <c r="D43" s="1193">
        <v>1019.95</v>
      </c>
      <c r="E43" s="1193">
        <v>1036.19</v>
      </c>
      <c r="F43" s="1191">
        <v>5451064000</v>
      </c>
      <c r="G43" s="1193">
        <v>1036.19</v>
      </c>
      <c r="J43" s="1170"/>
      <c r="K43" s="1171"/>
    </row>
    <row r="44" spans="1:11">
      <c r="A44" s="1189">
        <v>40057</v>
      </c>
      <c r="B44" s="1193">
        <v>1019.52</v>
      </c>
      <c r="C44" s="1193">
        <v>1080.1500000000001</v>
      </c>
      <c r="D44" s="1190">
        <v>991.97</v>
      </c>
      <c r="E44" s="1193">
        <v>1057.08</v>
      </c>
      <c r="F44" s="1191">
        <v>5633064200</v>
      </c>
      <c r="G44" s="1193">
        <v>1057.08</v>
      </c>
      <c r="J44" s="1170"/>
      <c r="K44" s="1171"/>
    </row>
    <row r="45" spans="1:11" ht="12.75" customHeight="1">
      <c r="A45" s="1189">
        <v>40028</v>
      </c>
      <c r="B45" s="1190">
        <v>990.22</v>
      </c>
      <c r="C45" s="1193">
        <v>1039.47</v>
      </c>
      <c r="D45" s="1190">
        <v>978.51</v>
      </c>
      <c r="E45" s="1193">
        <v>1020.62</v>
      </c>
      <c r="F45" s="1191">
        <v>5764944200</v>
      </c>
      <c r="G45" s="1193">
        <v>1020.62</v>
      </c>
      <c r="J45" s="1170"/>
      <c r="K45" s="1171"/>
    </row>
    <row r="46" spans="1:11">
      <c r="A46" s="1189">
        <v>39995</v>
      </c>
      <c r="B46" s="1190">
        <v>920.82</v>
      </c>
      <c r="C46" s="1190">
        <v>996.68</v>
      </c>
      <c r="D46" s="1190">
        <v>869.32</v>
      </c>
      <c r="E46" s="1190">
        <v>987.48</v>
      </c>
      <c r="F46" s="1191">
        <v>5080675400</v>
      </c>
      <c r="G46" s="1190">
        <v>987.48</v>
      </c>
      <c r="J46" s="1170"/>
      <c r="K46" s="1171"/>
    </row>
    <row r="47" spans="1:11">
      <c r="A47" s="1189">
        <v>39965</v>
      </c>
      <c r="B47" s="1190">
        <v>923.26</v>
      </c>
      <c r="C47" s="1190">
        <v>956.23</v>
      </c>
      <c r="D47" s="1190">
        <v>888.86</v>
      </c>
      <c r="E47" s="1190">
        <v>919.32</v>
      </c>
      <c r="F47" s="1191">
        <v>5330941800</v>
      </c>
      <c r="G47" s="1190">
        <v>919.32</v>
      </c>
      <c r="J47" s="1170"/>
      <c r="K47" s="1171"/>
    </row>
    <row r="48" spans="1:11">
      <c r="A48" s="1189">
        <v>39934</v>
      </c>
      <c r="B48" s="1190">
        <v>872.74</v>
      </c>
      <c r="C48" s="1190">
        <v>930.17</v>
      </c>
      <c r="D48" s="1190">
        <v>866.1</v>
      </c>
      <c r="E48" s="1190">
        <v>919.14</v>
      </c>
      <c r="F48" s="1191">
        <v>6883268000</v>
      </c>
      <c r="G48" s="1190">
        <v>919.14</v>
      </c>
      <c r="J48" s="1170"/>
      <c r="K48" s="1171"/>
    </row>
    <row r="49" spans="1:11" ht="12.75" customHeight="1">
      <c r="A49" s="1189">
        <v>39904</v>
      </c>
      <c r="B49" s="1190">
        <v>793.59</v>
      </c>
      <c r="C49" s="1190">
        <v>888.7</v>
      </c>
      <c r="D49" s="1190">
        <v>783.32</v>
      </c>
      <c r="E49" s="1190">
        <v>872.81</v>
      </c>
      <c r="F49" s="1191">
        <v>6938945600</v>
      </c>
      <c r="G49" s="1190">
        <v>872.81</v>
      </c>
      <c r="J49" s="1170"/>
      <c r="K49" s="1171"/>
    </row>
    <row r="50" spans="1:11">
      <c r="A50" s="1189">
        <v>39874</v>
      </c>
      <c r="B50" s="1190">
        <v>729.57</v>
      </c>
      <c r="C50" s="1190">
        <v>832.98</v>
      </c>
      <c r="D50" s="1190">
        <v>666.79</v>
      </c>
      <c r="E50" s="1190">
        <v>797.87</v>
      </c>
      <c r="F50" s="1191">
        <v>7633306300</v>
      </c>
      <c r="G50" s="1190">
        <v>797.87</v>
      </c>
    </row>
    <row r="51" spans="1:11">
      <c r="A51" s="1189">
        <v>39846</v>
      </c>
      <c r="B51" s="1190">
        <v>823.09</v>
      </c>
      <c r="C51" s="1190">
        <v>875.01</v>
      </c>
      <c r="D51" s="1190">
        <v>734.52</v>
      </c>
      <c r="E51" s="1190">
        <v>735.09</v>
      </c>
      <c r="F51" s="1191">
        <v>7022036200</v>
      </c>
      <c r="G51" s="1190">
        <v>735.09</v>
      </c>
    </row>
    <row r="52" spans="1:11">
      <c r="A52" s="1189">
        <v>39815</v>
      </c>
      <c r="B52" s="1190">
        <v>902.99</v>
      </c>
      <c r="C52" s="1190">
        <v>943.85</v>
      </c>
      <c r="D52" s="1190">
        <v>804.3</v>
      </c>
      <c r="E52" s="1190">
        <v>825.88</v>
      </c>
      <c r="F52" s="1191">
        <v>5844561500</v>
      </c>
      <c r="G52" s="1190">
        <v>825.88</v>
      </c>
    </row>
    <row r="53" spans="1:11" ht="12.75" customHeight="1">
      <c r="A53" s="1189">
        <v>39783</v>
      </c>
      <c r="B53" s="1190">
        <v>888.61</v>
      </c>
      <c r="C53" s="1190">
        <v>918.85</v>
      </c>
      <c r="D53" s="1190">
        <v>815.69</v>
      </c>
      <c r="E53" s="1190">
        <v>903.25</v>
      </c>
      <c r="F53" s="1191">
        <v>5320791300</v>
      </c>
      <c r="G53" s="1190">
        <v>903.25</v>
      </c>
    </row>
    <row r="54" spans="1:11">
      <c r="A54" s="1189">
        <v>39755</v>
      </c>
      <c r="B54" s="1190">
        <v>968.67</v>
      </c>
      <c r="C54" s="1193">
        <v>1007.51</v>
      </c>
      <c r="D54" s="1190">
        <v>741.02</v>
      </c>
      <c r="E54" s="1190">
        <v>896.24</v>
      </c>
      <c r="F54" s="1191">
        <v>6231635200</v>
      </c>
      <c r="G54" s="1190">
        <v>896.24</v>
      </c>
    </row>
    <row r="55" spans="1:11">
      <c r="A55" s="1189">
        <v>39722</v>
      </c>
      <c r="B55" s="1193">
        <v>1164.17</v>
      </c>
      <c r="C55" s="1193">
        <v>1167.03</v>
      </c>
      <c r="D55" s="1190">
        <v>839.8</v>
      </c>
      <c r="E55" s="1190">
        <v>968.75</v>
      </c>
      <c r="F55" s="1191">
        <v>7226593900</v>
      </c>
      <c r="G55" s="1190">
        <v>968.75</v>
      </c>
    </row>
    <row r="56" spans="1:11">
      <c r="A56" s="1189">
        <v>39693</v>
      </c>
      <c r="B56" s="1193">
        <v>1287.83</v>
      </c>
      <c r="C56" s="1193">
        <v>1303.04</v>
      </c>
      <c r="D56" s="1193">
        <v>1106.42</v>
      </c>
      <c r="E56" s="1193">
        <v>1166.3599999999999</v>
      </c>
      <c r="F56" s="1191">
        <v>6900428500</v>
      </c>
      <c r="G56" s="1193">
        <v>1166.3599999999999</v>
      </c>
    </row>
    <row r="57" spans="1:11" ht="12.75" customHeight="1">
      <c r="A57" s="1189">
        <v>39661</v>
      </c>
      <c r="B57" s="1193">
        <v>1269.42</v>
      </c>
      <c r="C57" s="1193">
        <v>1313.15</v>
      </c>
      <c r="D57" s="1193">
        <v>1247.45</v>
      </c>
      <c r="E57" s="1193">
        <v>1282.83</v>
      </c>
      <c r="F57" s="1191">
        <v>4264482300</v>
      </c>
      <c r="G57" s="1193">
        <v>1282.83</v>
      </c>
    </row>
    <row r="58" spans="1:11">
      <c r="A58" s="1189">
        <v>39630</v>
      </c>
      <c r="B58" s="1193">
        <v>1276.69</v>
      </c>
      <c r="C58" s="1193">
        <v>1292.17</v>
      </c>
      <c r="D58" s="1193">
        <v>1200.44</v>
      </c>
      <c r="E58" s="1193">
        <v>1267.3800000000001</v>
      </c>
      <c r="F58" s="1191">
        <v>5923937200</v>
      </c>
      <c r="G58" s="1193">
        <v>1267.3800000000001</v>
      </c>
    </row>
    <row r="59" spans="1:11">
      <c r="A59" s="1189">
        <v>39601</v>
      </c>
      <c r="B59" s="1193">
        <v>1399.62</v>
      </c>
      <c r="C59" s="1193">
        <v>1404.05</v>
      </c>
      <c r="D59" s="1193">
        <v>1272</v>
      </c>
      <c r="E59" s="1193">
        <v>1280</v>
      </c>
      <c r="F59" s="1191">
        <v>4840303300</v>
      </c>
      <c r="G59" s="1193">
        <v>1280</v>
      </c>
    </row>
    <row r="60" spans="1:11">
      <c r="A60" s="1189">
        <v>39569</v>
      </c>
      <c r="B60" s="1193">
        <v>1385.97</v>
      </c>
      <c r="C60" s="1193">
        <v>1440.24</v>
      </c>
      <c r="D60" s="1193">
        <v>1373.07</v>
      </c>
      <c r="E60" s="1193">
        <v>1400.38</v>
      </c>
      <c r="F60" s="1191">
        <v>4039814700</v>
      </c>
      <c r="G60" s="1193">
        <v>1400.38</v>
      </c>
    </row>
    <row r="61" spans="1:11" ht="12.75" customHeight="1">
      <c r="A61" s="1189">
        <v>39539</v>
      </c>
      <c r="B61" s="1193">
        <v>1326.41</v>
      </c>
      <c r="C61" s="1193">
        <v>1404.57</v>
      </c>
      <c r="D61" s="1193">
        <v>1324.35</v>
      </c>
      <c r="E61" s="1193">
        <v>1385.59</v>
      </c>
      <c r="F61" s="1191">
        <v>4113069000</v>
      </c>
      <c r="G61" s="1193">
        <v>1385.59</v>
      </c>
    </row>
    <row r="62" spans="1:11">
      <c r="A62" s="1189">
        <v>39510</v>
      </c>
      <c r="B62" s="1193">
        <v>1330.45</v>
      </c>
      <c r="C62" s="1193">
        <v>1359.68</v>
      </c>
      <c r="D62" s="1193">
        <v>1256.98</v>
      </c>
      <c r="E62" s="1193">
        <v>1322.7</v>
      </c>
      <c r="F62" s="1191">
        <v>4661172000</v>
      </c>
      <c r="G62" s="1193">
        <v>1322.7</v>
      </c>
    </row>
    <row r="63" spans="1:11">
      <c r="A63" s="1189">
        <v>39479</v>
      </c>
      <c r="B63" s="1193">
        <v>1378.6</v>
      </c>
      <c r="C63" s="1193">
        <v>1396.02</v>
      </c>
      <c r="D63" s="1193">
        <v>1316.75</v>
      </c>
      <c r="E63" s="1193">
        <v>1330.63</v>
      </c>
      <c r="F63" s="1191">
        <v>4148143000</v>
      </c>
      <c r="G63" s="1193">
        <v>1330.63</v>
      </c>
    </row>
    <row r="64" spans="1:11">
      <c r="A64" s="1189">
        <v>39449</v>
      </c>
      <c r="B64" s="1193">
        <v>1467.97</v>
      </c>
      <c r="C64" s="1193">
        <v>1471.77</v>
      </c>
      <c r="D64" s="1193">
        <v>1270.05</v>
      </c>
      <c r="E64" s="1193">
        <v>1378.55</v>
      </c>
      <c r="F64" s="1191">
        <v>4925982300</v>
      </c>
      <c r="G64" s="1193">
        <v>1378.55</v>
      </c>
    </row>
    <row r="65" spans="1:20" ht="12.75" customHeight="1"/>
    <row r="66" spans="1:20" ht="13.75" thickBot="1">
      <c r="A66" s="1189">
        <v>40546</v>
      </c>
      <c r="B66" s="1193">
        <v>1257.6199999999999</v>
      </c>
      <c r="C66" s="1193">
        <v>1302.67</v>
      </c>
      <c r="D66" s="1193">
        <v>1257.6199999999999</v>
      </c>
      <c r="E66" s="1193">
        <v>1286.1199999999999</v>
      </c>
      <c r="F66" s="1191">
        <v>4816605000</v>
      </c>
      <c r="G66" s="1193">
        <v>1286.1199999999999</v>
      </c>
      <c r="J66" s="1170"/>
      <c r="K66" s="1171"/>
      <c r="M66" s="1181" t="s">
        <v>1119</v>
      </c>
      <c r="N66" s="1173">
        <v>28.2</v>
      </c>
      <c r="O66" s="1174">
        <v>10.59</v>
      </c>
      <c r="P66" s="1174">
        <v>9.6999999999999993</v>
      </c>
      <c r="Q66" s="1174">
        <v>9.0299999999999994</v>
      </c>
      <c r="R66" s="1174">
        <v>13.16</v>
      </c>
      <c r="S66" s="1174">
        <v>11.26</v>
      </c>
      <c r="T66" s="1183">
        <v>23.05</v>
      </c>
    </row>
    <row r="67" spans="1:20">
      <c r="A67" s="1189">
        <v>40452</v>
      </c>
      <c r="B67" s="1193">
        <v>1143.49</v>
      </c>
      <c r="C67" s="1193">
        <v>1196.1400000000001</v>
      </c>
      <c r="D67" s="1193">
        <v>1131.8699999999999</v>
      </c>
      <c r="E67" s="1193">
        <v>1183.26</v>
      </c>
      <c r="F67" s="1191">
        <v>4432102300</v>
      </c>
      <c r="G67" s="1193">
        <v>1183.26</v>
      </c>
      <c r="J67" s="1170"/>
      <c r="K67" s="1171"/>
    </row>
    <row r="68" spans="1:20">
      <c r="A68" s="1189">
        <v>40360</v>
      </c>
      <c r="B68" s="1193">
        <v>1031.0999999999999</v>
      </c>
      <c r="C68" s="1193">
        <v>1120.95</v>
      </c>
      <c r="D68" s="1193">
        <v>1010.91</v>
      </c>
      <c r="E68" s="1193">
        <v>1101.5999999999999</v>
      </c>
      <c r="F68" s="1191">
        <v>4704026600</v>
      </c>
      <c r="G68" s="1193">
        <v>1101.5999999999999</v>
      </c>
      <c r="J68" s="1170"/>
      <c r="K68" s="1171"/>
    </row>
    <row r="69" spans="1:20" ht="12.75" customHeight="1">
      <c r="A69" s="1189">
        <v>40269</v>
      </c>
      <c r="B69" s="1193">
        <v>1171.23</v>
      </c>
      <c r="C69" s="1193">
        <v>1219.8</v>
      </c>
      <c r="D69" s="1193">
        <v>1170.69</v>
      </c>
      <c r="E69" s="1193">
        <v>1186.69</v>
      </c>
      <c r="F69" s="1191">
        <v>5847150900</v>
      </c>
      <c r="G69" s="1193">
        <v>1186.69</v>
      </c>
      <c r="J69" s="1170"/>
      <c r="K69" s="1171"/>
    </row>
    <row r="70" spans="1:20">
      <c r="A70" s="1189">
        <v>40182</v>
      </c>
      <c r="B70" s="1193">
        <v>1116.56</v>
      </c>
      <c r="C70" s="1193">
        <v>1150.45</v>
      </c>
      <c r="D70" s="1193">
        <v>1071.5899999999999</v>
      </c>
      <c r="E70" s="1193">
        <v>1073.8699999999999</v>
      </c>
      <c r="F70" s="1191">
        <v>5071601500</v>
      </c>
      <c r="G70" s="1193">
        <v>1073.8699999999999</v>
      </c>
      <c r="J70" s="1170"/>
      <c r="K70" s="1171"/>
    </row>
    <row r="71" spans="1:20">
      <c r="A71" s="1189">
        <v>40087</v>
      </c>
      <c r="B71" s="1193">
        <v>1054.9100000000001</v>
      </c>
      <c r="C71" s="1193">
        <v>1101.3599999999999</v>
      </c>
      <c r="D71" s="1193">
        <v>1019.95</v>
      </c>
      <c r="E71" s="1193">
        <v>1036.19</v>
      </c>
      <c r="F71" s="1191">
        <v>5451064000</v>
      </c>
      <c r="G71" s="1193">
        <v>1036.19</v>
      </c>
      <c r="J71" s="1170"/>
      <c r="K71" s="1171"/>
    </row>
    <row r="72" spans="1:20">
      <c r="A72" s="1189">
        <v>39995</v>
      </c>
      <c r="B72" s="1190">
        <v>920.82</v>
      </c>
      <c r="C72" s="1190">
        <v>996.68</v>
      </c>
      <c r="D72" s="1190">
        <v>869.32</v>
      </c>
      <c r="E72" s="1190">
        <v>987.48</v>
      </c>
      <c r="F72" s="1191">
        <v>5080675400</v>
      </c>
      <c r="G72" s="1190">
        <v>987.48</v>
      </c>
      <c r="J72" s="1170"/>
      <c r="K72" s="1171"/>
    </row>
    <row r="73" spans="1:20" ht="12.75" customHeight="1">
      <c r="A73" s="1189">
        <v>39904</v>
      </c>
      <c r="B73" s="1190">
        <v>793.59</v>
      </c>
      <c r="C73" s="1190">
        <v>888.7</v>
      </c>
      <c r="D73" s="1190">
        <v>783.32</v>
      </c>
      <c r="E73" s="1190">
        <v>872.81</v>
      </c>
      <c r="F73" s="1191">
        <v>6938945600</v>
      </c>
      <c r="G73" s="1190">
        <v>872.81</v>
      </c>
      <c r="J73" s="1170"/>
      <c r="K73" s="1171"/>
    </row>
    <row r="74" spans="1:20">
      <c r="A74" s="1189">
        <v>39815</v>
      </c>
      <c r="B74" s="1190">
        <v>902.99</v>
      </c>
      <c r="C74" s="1190">
        <v>943.85</v>
      </c>
      <c r="D74" s="1190">
        <v>804.3</v>
      </c>
      <c r="E74" s="1190">
        <v>825.88</v>
      </c>
      <c r="F74" s="1191">
        <v>5844561500</v>
      </c>
      <c r="G74" s="1190">
        <v>825.88</v>
      </c>
    </row>
    <row r="75" spans="1:20">
      <c r="A75" s="1189">
        <v>39722</v>
      </c>
      <c r="B75" s="1193">
        <v>1164.17</v>
      </c>
      <c r="C75" s="1193">
        <v>1167.03</v>
      </c>
      <c r="D75" s="1190">
        <v>839.8</v>
      </c>
      <c r="E75" s="1190">
        <v>968.75</v>
      </c>
      <c r="F75" s="1191">
        <v>7226593900</v>
      </c>
      <c r="G75" s="1190">
        <v>968.75</v>
      </c>
    </row>
    <row r="76" spans="1:20">
      <c r="A76" s="1189">
        <v>39630</v>
      </c>
      <c r="B76" s="1193">
        <v>1276.69</v>
      </c>
      <c r="C76" s="1193">
        <v>1292.17</v>
      </c>
      <c r="D76" s="1193">
        <v>1200.44</v>
      </c>
      <c r="E76" s="1193">
        <v>1267.3800000000001</v>
      </c>
      <c r="F76" s="1191">
        <v>5923937200</v>
      </c>
      <c r="G76" s="1193">
        <v>1267.3800000000001</v>
      </c>
    </row>
    <row r="77" spans="1:20" ht="12.75" customHeight="1">
      <c r="A77" s="1189">
        <v>39539</v>
      </c>
      <c r="B77" s="1193">
        <v>1326.41</v>
      </c>
      <c r="C77" s="1193">
        <v>1404.57</v>
      </c>
      <c r="D77" s="1193">
        <v>1324.35</v>
      </c>
      <c r="E77" s="1193">
        <v>1385.59</v>
      </c>
      <c r="F77" s="1191">
        <v>4113069000</v>
      </c>
      <c r="G77" s="1193">
        <v>1385.59</v>
      </c>
    </row>
    <row r="78" spans="1:20">
      <c r="A78" s="1189">
        <v>39449</v>
      </c>
      <c r="B78" s="1193">
        <v>1467.97</v>
      </c>
      <c r="C78" s="1193">
        <v>1471.77</v>
      </c>
      <c r="D78" s="1193">
        <v>1270.05</v>
      </c>
      <c r="E78" s="1193">
        <v>1378.55</v>
      </c>
      <c r="F78" s="1191">
        <v>4925982300</v>
      </c>
      <c r="G78" s="1193">
        <v>1378.55</v>
      </c>
    </row>
  </sheetData>
  <hyperlinks>
    <hyperlink ref="P24" r:id="rId1" tooltip="The Travelers Companies, Inc." display="http://www.mergenthorizon.com.proxy.library.nd.edu/rp/xa/rsch/company/competitors?id=9569" xr:uid="{00000000-0004-0000-0200-000000000000}"/>
    <hyperlink ref="Q24" r:id="rId2" tooltip="The Allstate Corporation" display="http://www.mergenthorizon.com.proxy.library.nd.edu/rp/xa/rsch/company/competitors?id=398" xr:uid="{00000000-0004-0000-0200-000001000000}"/>
    <hyperlink ref="R24" r:id="rId3" tooltip="The Progressive Corporation" display="http://www.mergenthorizon.com.proxy.library.nd.edu/rp/xa/rsch/company/competitors?id=8354" xr:uid="{00000000-0004-0000-0200-000002000000}"/>
    <hyperlink ref="S24" r:id="rId4" tooltip="CNA Financial Corporation" display="http://www.mergenthorizon.com.proxy.library.nd.edu/rp/xa/rsch/company/competitors?id=2354" xr:uid="{00000000-0004-0000-0200-000003000000}"/>
    <hyperlink ref="T24" r:id="rId5" tooltip="Cincinnati Financial Corporation" display="http://www.mergenthorizon.com.proxy.library.nd.edu/rp/xa/rsch/company/competitors?id=2255" xr:uid="{00000000-0004-0000-0200-000004000000}"/>
  </hyperlinks>
  <pageMargins left="0.7" right="0.7" top="0.75" bottom="0.75" header="0.3" footer="0.3"/>
  <drawing r:id="rId6"/>
  <tableParts count="1">
    <tablePart r:id="rId7"/>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O62"/>
  <sheetViews>
    <sheetView topLeftCell="A25" workbookViewId="0">
      <selection activeCell="K70" sqref="K70"/>
    </sheetView>
  </sheetViews>
  <sheetFormatPr defaultColWidth="9.1796875" defaultRowHeight="13"/>
  <cols>
    <col min="1" max="1" width="25.31640625" style="1150" customWidth="1"/>
    <col min="2" max="2" width="10" style="1149" bestFit="1" customWidth="1"/>
    <col min="3" max="3" width="9.81640625" style="1149" bestFit="1" customWidth="1"/>
    <col min="4" max="4" width="10" style="1149" bestFit="1" customWidth="1"/>
    <col min="5" max="7" width="9.81640625" style="1149" bestFit="1" customWidth="1"/>
    <col min="8" max="8" width="9.31640625" style="1149" customWidth="1"/>
    <col min="9" max="9" width="9.1796875" style="1149"/>
    <col min="10" max="10" width="8.31640625" style="1149" bestFit="1" customWidth="1"/>
    <col min="11" max="16384" width="9.1796875" style="1149"/>
  </cols>
  <sheetData>
    <row r="1" spans="1:15">
      <c r="A1" s="1276" t="s">
        <v>1085</v>
      </c>
      <c r="B1" s="1276"/>
      <c r="C1" s="1276"/>
      <c r="D1" s="1276"/>
      <c r="E1" s="1276"/>
      <c r="F1" s="1276"/>
      <c r="L1" s="1276" t="s">
        <v>1138</v>
      </c>
      <c r="M1" s="1276"/>
      <c r="N1" s="1276"/>
      <c r="O1" s="1276"/>
    </row>
    <row r="2" spans="1:15" ht="16">
      <c r="A2" s="1150" t="s">
        <v>1088</v>
      </c>
      <c r="B2" s="1201">
        <v>2011</v>
      </c>
      <c r="C2" s="1201">
        <v>2012</v>
      </c>
      <c r="D2" s="1201">
        <v>2013</v>
      </c>
      <c r="E2" s="1201">
        <v>2014</v>
      </c>
      <c r="F2" s="1201">
        <v>2015</v>
      </c>
      <c r="L2" s="1155" t="s">
        <v>1139</v>
      </c>
      <c r="M2" s="1201">
        <v>2008</v>
      </c>
      <c r="N2" s="1201">
        <v>2009</v>
      </c>
      <c r="O2" s="1201">
        <v>2010</v>
      </c>
    </row>
    <row r="3" spans="1:15" ht="14.25" customHeight="1">
      <c r="A3" s="1150" t="s">
        <v>195</v>
      </c>
      <c r="B3" s="1149">
        <f>IS!L25</f>
        <v>1608.6240000000012</v>
      </c>
      <c r="C3" s="1149">
        <f>IS!M25</f>
        <v>1705.7232000000004</v>
      </c>
      <c r="D3" s="1149">
        <f>IS!N25</f>
        <v>1778.9048640000001</v>
      </c>
      <c r="E3" s="1149">
        <f>IS!O25</f>
        <v>1820.502161280001</v>
      </c>
      <c r="F3" s="1149">
        <f>IS!P25</f>
        <v>1862.9314045056005</v>
      </c>
      <c r="L3" s="1150" t="s">
        <v>1140</v>
      </c>
      <c r="M3" s="1149">
        <f>SUM(BS!I8:I9)</f>
        <v>2257</v>
      </c>
      <c r="N3" s="1149">
        <f>SUM(BS!J8:J9)</f>
        <v>2152</v>
      </c>
      <c r="O3" s="1149">
        <f>SUM(BS!K8:K9)</f>
        <v>2051</v>
      </c>
    </row>
    <row r="4" spans="1:15">
      <c r="A4" s="1150" t="s">
        <v>65</v>
      </c>
      <c r="B4" s="1149">
        <f>IS!L21</f>
        <v>463</v>
      </c>
      <c r="C4" s="1149">
        <f>IS!M21</f>
        <v>463</v>
      </c>
      <c r="D4" s="1149">
        <f>IS!N21</f>
        <v>418</v>
      </c>
      <c r="E4" s="1149">
        <f>IS!O21</f>
        <v>418</v>
      </c>
      <c r="F4" s="1149">
        <f>IS!P21</f>
        <v>418</v>
      </c>
      <c r="L4" s="1150" t="s">
        <v>1141</v>
      </c>
      <c r="M4" s="1149">
        <f>-SUM(BS!I19:I21)</f>
        <v>-31022</v>
      </c>
      <c r="N4" s="1149">
        <f>-SUM(BS!J19:J21)</f>
        <v>-30840</v>
      </c>
      <c r="O4" s="1149">
        <f>-SUM(BS!K19:K21)</f>
        <v>-30141</v>
      </c>
    </row>
    <row r="5" spans="1:15">
      <c r="A5" s="1150" t="s">
        <v>1086</v>
      </c>
      <c r="B5" s="1149">
        <v>0</v>
      </c>
      <c r="C5" s="1149">
        <v>0</v>
      </c>
      <c r="D5" s="1149">
        <v>0</v>
      </c>
      <c r="E5" s="1149">
        <v>0</v>
      </c>
      <c r="F5" s="1149">
        <v>0</v>
      </c>
      <c r="L5" s="1150" t="s">
        <v>1142</v>
      </c>
      <c r="M5" s="1149">
        <v>324</v>
      </c>
      <c r="N5" s="1149">
        <v>310</v>
      </c>
      <c r="O5" s="1149">
        <v>310</v>
      </c>
    </row>
    <row r="6" spans="1:15">
      <c r="A6" s="1150" t="s">
        <v>1087</v>
      </c>
      <c r="B6" s="1149">
        <v>0</v>
      </c>
      <c r="C6" s="1149">
        <v>0</v>
      </c>
      <c r="D6" s="1149">
        <v>0</v>
      </c>
      <c r="E6" s="1149">
        <v>0</v>
      </c>
      <c r="F6" s="1149">
        <v>0</v>
      </c>
      <c r="L6" s="1150" t="s">
        <v>1143</v>
      </c>
      <c r="M6" s="1149">
        <f>BS!I10-M5</f>
        <v>947</v>
      </c>
      <c r="N6" s="1149">
        <f>BS!J10-N5</f>
        <v>890</v>
      </c>
      <c r="O6" s="1149">
        <f>BS!K10-O5</f>
        <v>972</v>
      </c>
    </row>
    <row r="8" spans="1:15" ht="13.75" thickBot="1">
      <c r="A8" s="1151" t="s">
        <v>1085</v>
      </c>
      <c r="B8" s="1152">
        <f>SUM(B3:B6)</f>
        <v>2071.6240000000012</v>
      </c>
      <c r="C8" s="1152">
        <f t="shared" ref="C8:E8" si="0">SUM(C3:C6)</f>
        <v>2168.7232000000004</v>
      </c>
      <c r="D8" s="1152">
        <f t="shared" si="0"/>
        <v>2196.9048640000001</v>
      </c>
      <c r="E8" s="1152">
        <f t="shared" si="0"/>
        <v>2238.502161280001</v>
      </c>
      <c r="F8" s="1152">
        <f>SUM(F3:F6)</f>
        <v>2280.9314045056008</v>
      </c>
      <c r="L8" s="1151" t="s">
        <v>1144</v>
      </c>
      <c r="M8" s="1152">
        <f>SUM(M3:M7)</f>
        <v>-27494</v>
      </c>
      <c r="N8" s="1152">
        <f t="shared" ref="N8:O8" si="1">SUM(N3:N7)</f>
        <v>-27488</v>
      </c>
      <c r="O8" s="1152">
        <f t="shared" si="1"/>
        <v>-26808</v>
      </c>
    </row>
    <row r="9" spans="1:15" ht="13.75" thickTop="1"/>
    <row r="11" spans="1:15">
      <c r="M11" s="114">
        <v>2008</v>
      </c>
      <c r="N11" s="114">
        <v>2009</v>
      </c>
      <c r="O11" s="152">
        <v>2010</v>
      </c>
    </row>
    <row r="12" spans="1:15">
      <c r="A12" s="1276" t="s">
        <v>1084</v>
      </c>
      <c r="B12" s="1276"/>
      <c r="C12" s="1276"/>
      <c r="D12" s="1276"/>
      <c r="E12" s="1276"/>
      <c r="F12" s="1276"/>
      <c r="G12" s="1276"/>
      <c r="H12" s="1276"/>
      <c r="I12" s="1276"/>
      <c r="M12" s="33"/>
      <c r="N12"/>
      <c r="O12" s="24"/>
    </row>
    <row r="13" spans="1:15">
      <c r="A13" s="1150" t="s">
        <v>1088</v>
      </c>
      <c r="B13" s="1165"/>
      <c r="C13" s="1165"/>
      <c r="D13" s="1165"/>
      <c r="E13" s="1165"/>
      <c r="F13" s="1165"/>
      <c r="L13" t="s">
        <v>793</v>
      </c>
      <c r="M13" s="109">
        <v>2478</v>
      </c>
      <c r="N13" s="109">
        <v>1918</v>
      </c>
      <c r="O13" s="523">
        <v>2046</v>
      </c>
    </row>
    <row r="14" spans="1:15">
      <c r="A14" s="1153"/>
      <c r="B14" s="1164">
        <v>2011</v>
      </c>
      <c r="C14" s="1164">
        <v>2012</v>
      </c>
      <c r="D14" s="1164">
        <v>2013</v>
      </c>
      <c r="E14" s="1164">
        <v>2014</v>
      </c>
      <c r="F14" s="1164">
        <v>2015</v>
      </c>
      <c r="G14" s="1166">
        <v>2015</v>
      </c>
      <c r="H14" s="1167" t="s">
        <v>1089</v>
      </c>
      <c r="I14" s="1167"/>
      <c r="L14" s="6" t="s">
        <v>196</v>
      </c>
      <c r="M14" s="109">
        <v>56</v>
      </c>
      <c r="N14" s="109">
        <v>51</v>
      </c>
      <c r="O14" s="523">
        <v>77</v>
      </c>
    </row>
    <row r="15" spans="1:15">
      <c r="A15" s="1150" t="s">
        <v>1085</v>
      </c>
      <c r="B15" s="1150">
        <f>B8</f>
        <v>2071.6240000000012</v>
      </c>
      <c r="C15" s="1150">
        <f t="shared" ref="C15:F15" si="2">C8</f>
        <v>2168.7232000000004</v>
      </c>
      <c r="D15" s="1150">
        <f t="shared" si="2"/>
        <v>2196.9048640000001</v>
      </c>
      <c r="E15" s="1150">
        <f t="shared" si="2"/>
        <v>2238.502161280001</v>
      </c>
      <c r="F15" s="1150">
        <f t="shared" si="2"/>
        <v>2280.9314045056008</v>
      </c>
      <c r="G15" s="1168">
        <f>((1+D24)*F15)/D23</f>
        <v>29328.481018192455</v>
      </c>
      <c r="H15" s="1150"/>
      <c r="I15" s="1150"/>
      <c r="L15" s="6" t="s">
        <v>458</v>
      </c>
      <c r="M15" s="109">
        <v>2201</v>
      </c>
      <c r="N15" s="109">
        <v>2101</v>
      </c>
      <c r="O15" s="523">
        <v>1974</v>
      </c>
    </row>
    <row r="16" spans="1:15">
      <c r="A16" s="1150" t="s">
        <v>199</v>
      </c>
      <c r="B16" s="1150">
        <f>IS!L17</f>
        <v>0</v>
      </c>
      <c r="C16" s="1150">
        <f>IS!M17</f>
        <v>0</v>
      </c>
      <c r="D16" s="1150">
        <f>IS!N17</f>
        <v>0</v>
      </c>
      <c r="E16" s="1150">
        <f>IS!O17</f>
        <v>0</v>
      </c>
      <c r="F16" s="1150">
        <f>IS!P17</f>
        <v>0</v>
      </c>
      <c r="G16" s="1150"/>
      <c r="H16" s="1150"/>
      <c r="I16" s="1150"/>
      <c r="L16" s="6" t="s">
        <v>454</v>
      </c>
      <c r="M16" s="109">
        <v>1271</v>
      </c>
      <c r="N16" s="109">
        <v>1200</v>
      </c>
      <c r="O16" s="523">
        <v>1282</v>
      </c>
    </row>
    <row r="17" spans="1:10">
      <c r="A17" s="1150" t="s">
        <v>259</v>
      </c>
      <c r="B17" s="1227">
        <f>workingcap!L23</f>
        <v>771.19524690719481</v>
      </c>
      <c r="C17" s="1227">
        <f>workingcap!M23</f>
        <v>543.55761273177632</v>
      </c>
      <c r="D17" s="1227">
        <f>workingcap!N23</f>
        <v>-658.20936369041738</v>
      </c>
      <c r="E17" s="1227">
        <f>workingcap!O23</f>
        <v>-675.58699096421697</v>
      </c>
      <c r="F17" s="1227">
        <f>workingcap!P23</f>
        <v>-693.31217078349437</v>
      </c>
      <c r="G17" s="1227"/>
      <c r="H17" s="1227"/>
      <c r="I17" s="1227"/>
    </row>
    <row r="18" spans="1:10" ht="13.75" thickBot="1">
      <c r="A18" s="1151" t="s">
        <v>1074</v>
      </c>
      <c r="B18" s="1151">
        <f t="shared" ref="B18:G18" si="3">SUM(B15:B17)</f>
        <v>2842.819246907196</v>
      </c>
      <c r="C18" s="1151">
        <f t="shared" si="3"/>
        <v>2712.2808127317767</v>
      </c>
      <c r="D18" s="1151">
        <f t="shared" si="3"/>
        <v>1538.6955003095827</v>
      </c>
      <c r="E18" s="1151">
        <f t="shared" si="3"/>
        <v>1562.9151703157841</v>
      </c>
      <c r="F18" s="1151">
        <f t="shared" si="3"/>
        <v>1587.6192337221064</v>
      </c>
      <c r="G18" s="1151">
        <f t="shared" si="3"/>
        <v>29328.481018192455</v>
      </c>
      <c r="H18" s="1151"/>
      <c r="I18" s="1151"/>
    </row>
    <row r="19" spans="1:10" ht="13.75" thickTop="1">
      <c r="B19" s="1150"/>
      <c r="C19" s="1150"/>
      <c r="D19" s="1150"/>
      <c r="E19" s="1150"/>
      <c r="F19" s="1150"/>
      <c r="G19" s="1150"/>
      <c r="H19" s="1150"/>
      <c r="I19" s="1150"/>
    </row>
    <row r="20" spans="1:10">
      <c r="A20" s="1150" t="s">
        <v>1071</v>
      </c>
      <c r="B20" s="1160">
        <f t="shared" ref="B20:G20" si="4">1/((1+$D$23)^(B14-$B$14))</f>
        <v>1</v>
      </c>
      <c r="C20" s="1160">
        <f t="shared" si="4"/>
        <v>0.9265029931936275</v>
      </c>
      <c r="D20" s="1160">
        <f t="shared" si="4"/>
        <v>0.85840779639675102</v>
      </c>
      <c r="E20" s="1160">
        <f t="shared" si="4"/>
        <v>0.7953173927423357</v>
      </c>
      <c r="F20" s="1160">
        <f t="shared" si="4"/>
        <v>0.73686394491472584</v>
      </c>
      <c r="G20" s="1160">
        <f t="shared" si="4"/>
        <v>0.73686394491472584</v>
      </c>
      <c r="H20" s="1160"/>
      <c r="I20" s="1160"/>
    </row>
    <row r="21" spans="1:10">
      <c r="A21" s="1150" t="s">
        <v>1072</v>
      </c>
      <c r="B21" s="1154">
        <f t="shared" ref="B21:F21" si="5">B18*B20</f>
        <v>2842.819246907196</v>
      </c>
      <c r="C21" s="1154">
        <f t="shared" si="5"/>
        <v>2512.9362913776358</v>
      </c>
      <c r="D21" s="1154">
        <f>D18*D20</f>
        <v>1320.8282137463452</v>
      </c>
      <c r="E21" s="1154">
        <f t="shared" si="5"/>
        <v>1243.013618332993</v>
      </c>
      <c r="F21" s="1154">
        <f t="shared" si="5"/>
        <v>1169.8593715829654</v>
      </c>
      <c r="G21" s="1154">
        <f>G18*G20</f>
        <v>21611.100221421948</v>
      </c>
      <c r="H21" s="1154"/>
      <c r="I21" s="1154"/>
    </row>
    <row r="22" spans="1:10">
      <c r="B22" s="1150"/>
      <c r="C22" s="1150"/>
      <c r="D22" s="1150"/>
      <c r="E22" s="1150"/>
      <c r="F22" s="1150"/>
      <c r="G22" s="1150"/>
      <c r="H22" s="1150"/>
      <c r="I22" s="1150"/>
      <c r="J22" s="1150"/>
    </row>
    <row r="23" spans="1:10">
      <c r="A23" s="1150" t="s">
        <v>1081</v>
      </c>
      <c r="B23" s="1150"/>
      <c r="C23" s="1150"/>
      <c r="D23" s="1222">
        <f>B47</f>
        <v>7.9327327970124123E-2</v>
      </c>
      <c r="E23" s="1150"/>
      <c r="F23" s="1150"/>
    </row>
    <row r="24" spans="1:10">
      <c r="A24" s="1150" t="s">
        <v>1066</v>
      </c>
      <c r="B24" s="1150"/>
      <c r="C24" s="1150"/>
      <c r="D24" s="1162">
        <v>0.02</v>
      </c>
      <c r="E24" s="1150"/>
      <c r="F24" s="1150"/>
    </row>
    <row r="25" spans="1:10">
      <c r="B25" s="1150"/>
      <c r="C25" s="1150"/>
      <c r="D25" s="1150"/>
      <c r="F25" s="1150"/>
    </row>
    <row r="26" spans="1:10">
      <c r="A26" s="1150" t="s">
        <v>1067</v>
      </c>
      <c r="B26" s="1150"/>
      <c r="C26" s="1150"/>
      <c r="D26" s="1150">
        <f>SUM(B21:F21)</f>
        <v>9089.456741947135</v>
      </c>
      <c r="F26" s="1150"/>
    </row>
    <row r="27" spans="1:10">
      <c r="A27" s="1150" t="s">
        <v>1068</v>
      </c>
      <c r="B27" s="1150"/>
      <c r="C27" s="1150"/>
      <c r="D27" s="1163">
        <f>G21</f>
        <v>21611.100221421948</v>
      </c>
      <c r="F27" s="1150"/>
    </row>
    <row r="28" spans="1:10">
      <c r="A28" s="1169" t="s">
        <v>1090</v>
      </c>
      <c r="B28" s="1150"/>
      <c r="C28" s="1150"/>
      <c r="D28" s="1163">
        <f>-BS!K27</f>
        <v>-34264</v>
      </c>
      <c r="F28" s="1150"/>
    </row>
    <row r="29" spans="1:10">
      <c r="A29" s="1231" t="s">
        <v>1154</v>
      </c>
      <c r="D29" s="1149">
        <f>BS!K29</f>
        <v>15979</v>
      </c>
      <c r="F29" s="1150"/>
    </row>
    <row r="30" spans="1:10">
      <c r="B30" s="1150"/>
      <c r="C30" s="1150"/>
      <c r="D30" s="1163"/>
      <c r="F30" s="1150"/>
    </row>
    <row r="31" spans="1:10">
      <c r="B31" s="1150"/>
      <c r="C31" s="1150"/>
      <c r="D31" s="1163"/>
      <c r="F31" s="1150"/>
    </row>
    <row r="32" spans="1:10">
      <c r="A32" s="1150" t="s">
        <v>35</v>
      </c>
      <c r="B32" s="1150"/>
      <c r="C32" s="1150"/>
      <c r="D32" s="1150">
        <f>SUM(D26:D30)</f>
        <v>12415.556963369083</v>
      </c>
      <c r="F32" s="1150"/>
    </row>
    <row r="33" spans="1:10">
      <c r="B33" s="1150"/>
      <c r="C33" s="1150"/>
      <c r="D33" s="1150"/>
    </row>
    <row r="34" spans="1:10">
      <c r="A34" s="1150" t="s">
        <v>1069</v>
      </c>
      <c r="B34" s="1150"/>
      <c r="C34" s="1150"/>
      <c r="D34" s="1160">
        <v>297.3</v>
      </c>
    </row>
    <row r="35" spans="1:10">
      <c r="B35" s="1150"/>
      <c r="C35" s="1150"/>
      <c r="D35" s="1150"/>
    </row>
    <row r="36" spans="1:10" ht="18">
      <c r="A36" s="1228" t="s">
        <v>1153</v>
      </c>
      <c r="B36" s="1229"/>
      <c r="C36" s="1229"/>
      <c r="D36" s="1230">
        <f>D32/D34</f>
        <v>41.761039230975726</v>
      </c>
    </row>
    <row r="37" spans="1:10" ht="13.75" thickBot="1"/>
    <row r="38" spans="1:10">
      <c r="A38" s="1277" t="s">
        <v>1073</v>
      </c>
      <c r="B38" s="1278"/>
    </row>
    <row r="39" spans="1:10">
      <c r="A39" s="1156" t="s">
        <v>1083</v>
      </c>
      <c r="B39" s="1157">
        <v>34.26</v>
      </c>
      <c r="I39" s="1279" t="s">
        <v>1137</v>
      </c>
      <c r="J39" s="1279"/>
    </row>
    <row r="40" spans="1:10">
      <c r="A40" s="1156" t="s">
        <v>1082</v>
      </c>
      <c r="B40" s="1157">
        <f>297.3*61.31/1000</f>
        <v>18.227463</v>
      </c>
      <c r="J40" s="1200" t="s">
        <v>1070</v>
      </c>
    </row>
    <row r="41" spans="1:10">
      <c r="A41" s="1156" t="s">
        <v>1077</v>
      </c>
      <c r="B41" s="1148">
        <f>463/3975</f>
        <v>0.11647798742138364</v>
      </c>
      <c r="I41" s="1150"/>
      <c r="J41" s="1160">
        <f>D36</f>
        <v>41.761039230975726</v>
      </c>
    </row>
    <row r="42" spans="1:10">
      <c r="A42" s="1156" t="s">
        <v>1075</v>
      </c>
      <c r="B42" s="1148">
        <v>0.28000000000000003</v>
      </c>
      <c r="I42" s="1147">
        <v>0.06</v>
      </c>
      <c r="J42" s="1149">
        <f t="dataTable" ref="J42:J47" dt2D="0" dtr="0" r1="D23" ca="1"/>
        <v>73.225352835472719</v>
      </c>
    </row>
    <row r="43" spans="1:10">
      <c r="A43" s="1156" t="s">
        <v>1078</v>
      </c>
      <c r="B43" s="1148">
        <v>0.05</v>
      </c>
      <c r="I43" s="1147">
        <f>I42+0.01</f>
        <v>6.9999999999999993E-2</v>
      </c>
      <c r="J43" s="1149">
        <v>54.757892344945787</v>
      </c>
    </row>
    <row r="44" spans="1:10">
      <c r="A44" s="1156" t="s">
        <v>1080</v>
      </c>
      <c r="B44" s="1161">
        <v>3.5799999999999998E-2</v>
      </c>
      <c r="I44" s="1147">
        <f>I43+0.01</f>
        <v>7.9999999999999988E-2</v>
      </c>
      <c r="J44" s="1149">
        <v>40.942012574712329</v>
      </c>
    </row>
    <row r="45" spans="1:10">
      <c r="A45" s="1156" t="s">
        <v>1079</v>
      </c>
      <c r="B45" s="1158">
        <v>0.7</v>
      </c>
      <c r="I45" s="1147">
        <f t="shared" ref="I45" si="6">I44+0.01</f>
        <v>8.9999999999999983E-2</v>
      </c>
      <c r="J45" s="1149">
        <v>30.225333953138097</v>
      </c>
    </row>
    <row r="46" spans="1:10">
      <c r="A46" s="1156" t="s">
        <v>1076</v>
      </c>
      <c r="B46" s="1148">
        <f>B44+B45*B43</f>
        <v>7.0800000000000002E-2</v>
      </c>
      <c r="I46" s="1147">
        <f>I45+0.01</f>
        <v>9.9999999999999978E-2</v>
      </c>
      <c r="J46" s="1149">
        <v>21.676537563210641</v>
      </c>
    </row>
    <row r="47" spans="1:10" ht="13.75" thickBot="1">
      <c r="A47" s="1159" t="s">
        <v>1081</v>
      </c>
      <c r="B47" s="1223">
        <f>(1-B42)*B41*(B39/SUM($B$39:$B$40))+B46*(B40/SUM($B$39:$B$40))</f>
        <v>7.9327327970124123E-2</v>
      </c>
      <c r="I47" s="1147">
        <f t="shared" ref="I47" si="7">I46+0.01</f>
        <v>0.10999999999999997</v>
      </c>
      <c r="J47" s="1149">
        <v>14.703057681641434</v>
      </c>
    </row>
    <row r="48" spans="1:10" ht="13.75" thickTop="1">
      <c r="A48" s="1149"/>
    </row>
    <row r="50" spans="1:15" ht="15.5">
      <c r="A50" s="33"/>
      <c r="B50" s="120" t="s">
        <v>1151</v>
      </c>
      <c r="C50" s="33"/>
      <c r="D50" s="33"/>
      <c r="E50" s="33"/>
      <c r="F50" s="33"/>
      <c r="G50" s="33"/>
      <c r="H50" s="33"/>
      <c r="I50" s="33"/>
      <c r="J50" s="33"/>
    </row>
    <row r="51" spans="1:15">
      <c r="A51" s="33"/>
      <c r="B51" s="33"/>
      <c r="C51" s="121"/>
      <c r="D51" s="33"/>
      <c r="E51" s="33"/>
      <c r="F51" s="33"/>
      <c r="G51" s="33"/>
      <c r="H51" s="33"/>
      <c r="I51" s="33"/>
      <c r="J51" s="33"/>
    </row>
    <row r="52" spans="1:15">
      <c r="A52" s="33"/>
      <c r="B52" s="121"/>
      <c r="C52" s="129" t="s">
        <v>1066</v>
      </c>
      <c r="D52" s="130"/>
      <c r="E52" s="130"/>
      <c r="F52" s="130"/>
      <c r="G52" s="1224"/>
      <c r="H52" s="130"/>
      <c r="I52" s="130"/>
      <c r="J52" s="130"/>
    </row>
    <row r="53" spans="1:15">
      <c r="A53" s="33"/>
      <c r="B53" s="1220">
        <f>D36</f>
        <v>41.761039230975726</v>
      </c>
      <c r="C53" s="131">
        <v>0</v>
      </c>
      <c r="D53" s="132">
        <f t="shared" ref="D53:J53" si="8">C53+$O53</f>
        <v>5.0000000000000001E-3</v>
      </c>
      <c r="E53" s="132">
        <f t="shared" si="8"/>
        <v>0.01</v>
      </c>
      <c r="F53" s="132">
        <f t="shared" si="8"/>
        <v>1.4999999999999999E-2</v>
      </c>
      <c r="G53" s="132">
        <f t="shared" si="8"/>
        <v>0.02</v>
      </c>
      <c r="H53" s="132">
        <f t="shared" si="8"/>
        <v>2.5000000000000001E-2</v>
      </c>
      <c r="I53" s="132">
        <f t="shared" si="8"/>
        <v>3.0000000000000002E-2</v>
      </c>
      <c r="J53" s="132">
        <f t="shared" si="8"/>
        <v>3.5000000000000003E-2</v>
      </c>
      <c r="O53" s="1149">
        <v>5.0000000000000001E-3</v>
      </c>
    </row>
    <row r="54" spans="1:15">
      <c r="A54" s="33"/>
      <c r="B54" s="133">
        <v>0.06</v>
      </c>
      <c r="C54" s="1210">
        <f t="dataTable" ref="C54:J62" dt2D="1" dtr="1" r1="D24" r2="D23" ca="1"/>
        <v>71.199664628510618</v>
      </c>
      <c r="D54" s="1211">
        <v>71.706086680251147</v>
      </c>
      <c r="E54" s="1211">
        <v>72.212508731991662</v>
      </c>
      <c r="F54" s="1211">
        <v>72.718930783732191</v>
      </c>
      <c r="G54" s="1211">
        <v>73.225352835472719</v>
      </c>
      <c r="H54" s="1211">
        <v>73.731774887213234</v>
      </c>
      <c r="I54" s="1211">
        <v>74.238196938953763</v>
      </c>
      <c r="J54" s="1212">
        <v>74.744618990694278</v>
      </c>
    </row>
    <row r="55" spans="1:15">
      <c r="A55" s="126"/>
      <c r="B55" s="134">
        <f>B54+$O$53</f>
        <v>6.5000000000000002E-2</v>
      </c>
      <c r="C55" s="1213">
        <v>61.440829870759153</v>
      </c>
      <c r="D55" s="1214">
        <v>61.899579294927754</v>
      </c>
      <c r="E55" s="1214">
        <v>62.358328719096384</v>
      </c>
      <c r="F55" s="1214">
        <v>62.817078143265022</v>
      </c>
      <c r="G55" s="1214">
        <v>63.275827567433652</v>
      </c>
      <c r="H55" s="1214">
        <v>63.734576991602303</v>
      </c>
      <c r="I55" s="1214">
        <v>64.19332641577094</v>
      </c>
      <c r="J55" s="1215">
        <v>64.652075839939542</v>
      </c>
    </row>
    <row r="56" spans="1:15">
      <c r="A56" s="427"/>
      <c r="B56" s="134">
        <f t="shared" ref="B56:B62" si="9">B55+$O$53</f>
        <v>7.0000000000000007E-2</v>
      </c>
      <c r="C56" s="1213">
        <v>53.085592457860905</v>
      </c>
      <c r="D56" s="1214">
        <v>53.50366742963211</v>
      </c>
      <c r="E56" s="1214">
        <v>53.921742401403343</v>
      </c>
      <c r="F56" s="1214">
        <v>54.339817373174533</v>
      </c>
      <c r="G56" s="1214">
        <v>54.757892344945766</v>
      </c>
      <c r="H56" s="1214">
        <v>55.175967316716971</v>
      </c>
      <c r="I56" s="1214">
        <v>55.594042288488204</v>
      </c>
      <c r="J56" s="1215">
        <v>56.012117260259416</v>
      </c>
    </row>
    <row r="57" spans="1:15">
      <c r="A57" s="126" t="s">
        <v>1081</v>
      </c>
      <c r="B57" s="134">
        <f t="shared" si="9"/>
        <v>7.5000000000000011E-2</v>
      </c>
      <c r="C57" s="1213">
        <v>45.852960059460401</v>
      </c>
      <c r="D57" s="1216">
        <v>46.23595426151833</v>
      </c>
      <c r="E57" s="1214">
        <v>46.618948463576267</v>
      </c>
      <c r="F57" s="1214">
        <v>47.001942665634196</v>
      </c>
      <c r="G57" s="1214">
        <v>47.384936867692133</v>
      </c>
      <c r="H57" s="1214">
        <v>47.767931069750055</v>
      </c>
      <c r="I57" s="1214">
        <v>48.150925271808006</v>
      </c>
      <c r="J57" s="1215">
        <v>48.533919473865936</v>
      </c>
    </row>
    <row r="58" spans="1:15">
      <c r="A58" s="128"/>
      <c r="B58" s="134">
        <f t="shared" si="9"/>
        <v>8.0000000000000016E-2</v>
      </c>
      <c r="C58" s="1213">
        <v>39.532197005848744</v>
      </c>
      <c r="D58" s="1214">
        <v>39.884650898064628</v>
      </c>
      <c r="E58" s="1214">
        <v>40.237104790280526</v>
      </c>
      <c r="F58" s="1214">
        <v>40.589558682496403</v>
      </c>
      <c r="G58" s="1214">
        <v>40.942012574712315</v>
      </c>
      <c r="H58" s="1214">
        <v>41.294466466928199</v>
      </c>
      <c r="I58" s="1214">
        <v>41.646920359144097</v>
      </c>
      <c r="J58" s="1215">
        <v>41.999374251359988</v>
      </c>
    </row>
    <row r="59" spans="1:15">
      <c r="A59" s="75"/>
      <c r="B59" s="134">
        <f t="shared" si="9"/>
        <v>8.500000000000002E-2</v>
      </c>
      <c r="C59" s="1213">
        <v>33.962160262971253</v>
      </c>
      <c r="D59" s="1214">
        <v>34.287809032419879</v>
      </c>
      <c r="E59" s="1214">
        <v>34.613457801868542</v>
      </c>
      <c r="F59" s="1214">
        <v>34.93910657131719</v>
      </c>
      <c r="G59" s="1214">
        <v>35.264755340765845</v>
      </c>
      <c r="H59" s="1214">
        <v>35.590404110214486</v>
      </c>
      <c r="I59" s="1214">
        <v>35.916052879663148</v>
      </c>
      <c r="J59" s="1215">
        <v>36.241701649111782</v>
      </c>
    </row>
    <row r="60" spans="1:15">
      <c r="A60" s="33"/>
      <c r="B60" s="134">
        <f t="shared" si="9"/>
        <v>9.0000000000000024E-2</v>
      </c>
      <c r="C60" s="1213">
        <v>29.017523427546909</v>
      </c>
      <c r="D60" s="1214">
        <v>29.319476058944698</v>
      </c>
      <c r="E60" s="1214">
        <v>29.621428690342487</v>
      </c>
      <c r="F60" s="1214">
        <v>29.923381321740273</v>
      </c>
      <c r="G60" s="1214">
        <v>30.225333953138072</v>
      </c>
      <c r="H60" s="1214">
        <v>30.527286584535837</v>
      </c>
      <c r="I60" s="1214">
        <v>30.829239215933637</v>
      </c>
      <c r="J60" s="1215">
        <v>31.131191847331412</v>
      </c>
    </row>
    <row r="61" spans="1:15">
      <c r="A61" s="33"/>
      <c r="B61" s="134">
        <f t="shared" si="9"/>
        <v>9.5000000000000029E-2</v>
      </c>
      <c r="C61" s="1213">
        <v>24.599351050172292</v>
      </c>
      <c r="D61" s="1214">
        <v>24.880222268359429</v>
      </c>
      <c r="E61" s="1214">
        <v>25.161093486546541</v>
      </c>
      <c r="F61" s="1214">
        <v>25.441964704733675</v>
      </c>
      <c r="G61" s="1214">
        <v>25.722835922920812</v>
      </c>
      <c r="H61" s="1214">
        <v>26.003707141107924</v>
      </c>
      <c r="I61" s="1214">
        <v>26.284578359295061</v>
      </c>
      <c r="J61" s="1215">
        <v>26.56544957748217</v>
      </c>
    </row>
    <row r="62" spans="1:15">
      <c r="A62" s="33"/>
      <c r="B62" s="134">
        <f t="shared" si="9"/>
        <v>0.10000000000000003</v>
      </c>
      <c r="C62" s="1217">
        <v>20.628500671154047</v>
      </c>
      <c r="D62" s="1218">
        <v>20.890509894168197</v>
      </c>
      <c r="E62" s="1218">
        <v>21.152519117182333</v>
      </c>
      <c r="F62" s="1218">
        <v>21.414528340196469</v>
      </c>
      <c r="G62" s="1218">
        <v>21.676537563210616</v>
      </c>
      <c r="H62" s="1218">
        <v>21.938546786224737</v>
      </c>
      <c r="I62" s="1218">
        <v>22.200556009238888</v>
      </c>
      <c r="J62" s="1219">
        <v>22.462565232253034</v>
      </c>
    </row>
  </sheetData>
  <customSheetViews>
    <customSheetView guid="{5A4827F7-D52D-44AD-B257-2AB13F875B96}" topLeftCell="A2">
      <selection activeCell="K32" sqref="K32"/>
      <pageMargins left="0.7" right="0.7" top="0.75" bottom="0.75" header="0.3" footer="0.3"/>
    </customSheetView>
  </customSheetViews>
  <mergeCells count="5">
    <mergeCell ref="A1:F1"/>
    <mergeCell ref="L1:O1"/>
    <mergeCell ref="A38:B38"/>
    <mergeCell ref="I39:J39"/>
    <mergeCell ref="A12:I12"/>
  </mergeCells>
  <conditionalFormatting sqref="C54:J62">
    <cfRule type="colorScale" priority="1">
      <colorScale>
        <cfvo type="min"/>
        <cfvo type="percentile" val="50"/>
        <cfvo type="max"/>
        <color rgb="FF63BE7B"/>
        <color rgb="FFFFEB84"/>
        <color rgb="FFF8696B"/>
      </colorScale>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tabColor rgb="FFFFFF00"/>
    <pageSetUpPr fitToPage="1"/>
  </sheetPr>
  <dimension ref="A1:IU87"/>
  <sheetViews>
    <sheetView showGridLines="0" topLeftCell="A59" workbookViewId="0">
      <selection activeCell="M82" sqref="M82"/>
    </sheetView>
  </sheetViews>
  <sheetFormatPr defaultColWidth="8.81640625" defaultRowHeight="13" customHeight="1"/>
  <cols>
    <col min="1" max="1" width="1.6796875" style="484" customWidth="1"/>
    <col min="2" max="2" width="2.5" customWidth="1"/>
    <col min="3" max="3" width="1.6796875" customWidth="1"/>
    <col min="4" max="6" width="8.31640625" customWidth="1"/>
    <col min="7" max="16" width="10.6796875" customWidth="1"/>
    <col min="17" max="17" width="2.6796875" customWidth="1"/>
    <col min="18" max="18" width="10.6796875" customWidth="1"/>
    <col min="27" max="27" width="25.5" customWidth="1"/>
    <col min="28" max="28" width="1.6796875" customWidth="1"/>
    <col min="30" max="30" width="40" customWidth="1"/>
    <col min="31" max="31" width="1.6796875" customWidth="1"/>
    <col min="33" max="33" width="54.5" customWidth="1"/>
  </cols>
  <sheetData>
    <row r="1" spans="1:255" s="33" customFormat="1" ht="18.75" thickBot="1">
      <c r="A1" s="89"/>
      <c r="B1" s="53" t="str">
        <f>"Income Statement for "&amp;Name</f>
        <v>Income Statement for Chubb Corporation</v>
      </c>
      <c r="Q1" s="54"/>
      <c r="R1" s="54"/>
      <c r="T1" s="66"/>
      <c r="V1" s="67"/>
    </row>
    <row r="2" spans="1:255" s="33" customFormat="1">
      <c r="A2" s="89"/>
      <c r="B2" s="55" t="str">
        <f>Subheader</f>
        <v>Dollars in millions, except per share</v>
      </c>
      <c r="C2" s="56"/>
      <c r="D2" s="56"/>
      <c r="E2" s="56"/>
      <c r="F2" s="56"/>
      <c r="G2" s="56"/>
      <c r="H2" s="56"/>
      <c r="I2" s="56"/>
      <c r="J2" s="56"/>
      <c r="K2" s="111"/>
      <c r="L2" s="56"/>
      <c r="M2" s="56"/>
      <c r="N2" s="56"/>
      <c r="O2" s="56"/>
      <c r="P2" s="56"/>
      <c r="Q2" s="56"/>
      <c r="R2" s="56"/>
      <c r="T2" s="66"/>
      <c r="V2" s="68"/>
      <c r="W2" s="68"/>
      <c r="X2" s="68"/>
      <c r="Y2" s="68"/>
      <c r="Z2" s="68"/>
      <c r="AA2" s="68"/>
    </row>
    <row r="3" spans="1:255" s="33" customFormat="1">
      <c r="A3" s="89"/>
      <c r="J3" s="97"/>
      <c r="K3" s="642"/>
      <c r="L3" s="105"/>
      <c r="R3" s="57" t="str">
        <f>L5&amp;" - "&amp;P5</f>
        <v>2011 - 2015</v>
      </c>
      <c r="T3"/>
      <c r="U3"/>
      <c r="V3" s="68"/>
      <c r="W3" s="68"/>
      <c r="X3" s="68"/>
      <c r="Y3" s="68"/>
      <c r="Z3" s="68"/>
      <c r="AA3" s="68"/>
    </row>
    <row r="4" spans="1:255" s="33" customFormat="1">
      <c r="A4" s="89"/>
      <c r="I4" s="58" t="str">
        <f>"Historical Year Ending "&amp;TEXT(FYE,"Mmmm Dd,")</f>
        <v>Historical Year Ending December 31,</v>
      </c>
      <c r="J4" s="58"/>
      <c r="K4" s="58"/>
      <c r="L4" s="58" t="str">
        <f>"Projected Year Ending "&amp;TEXT(FYE,"Mmmm Dd,")</f>
        <v>Projected Year Ending December 31,</v>
      </c>
      <c r="M4" s="58"/>
      <c r="N4" s="58"/>
      <c r="O4" s="58"/>
      <c r="P4" s="58"/>
      <c r="R4" s="59" t="s">
        <v>189</v>
      </c>
      <c r="T4"/>
      <c r="U4"/>
      <c r="V4"/>
    </row>
    <row r="5" spans="1:255" s="33" customFormat="1">
      <c r="A5" s="89"/>
      <c r="C5"/>
      <c r="D5"/>
      <c r="E5"/>
      <c r="I5" s="115">
        <f>J5-1</f>
        <v>2008</v>
      </c>
      <c r="J5" s="115">
        <f>K5-1</f>
        <v>2009</v>
      </c>
      <c r="K5" s="1226">
        <f>YEAR(FYE)</f>
        <v>2010</v>
      </c>
      <c r="L5" s="115">
        <f>K5+1</f>
        <v>2011</v>
      </c>
      <c r="M5" s="115">
        <f>L5+1</f>
        <v>2012</v>
      </c>
      <c r="N5" s="115">
        <f>M5+1</f>
        <v>2013</v>
      </c>
      <c r="O5" s="115">
        <f>N5+1</f>
        <v>2014</v>
      </c>
      <c r="P5" s="115">
        <f>O5+1</f>
        <v>2015</v>
      </c>
      <c r="T5" s="66"/>
    </row>
    <row r="6" spans="1:255" s="33" customFormat="1">
      <c r="A6" s="89"/>
      <c r="G6"/>
      <c r="J6" s="570"/>
      <c r="K6" s="568"/>
      <c r="Q6" s="61"/>
      <c r="T6" s="66"/>
      <c r="Z6" s="541"/>
      <c r="AF6" s="541"/>
    </row>
    <row r="7" spans="1:255" s="33" customFormat="1">
      <c r="A7" s="89" t="s">
        <v>118</v>
      </c>
      <c r="B7" s="902" t="str">
        <f>'Actual IS'!A17</f>
        <v>Premiums Earned</v>
      </c>
      <c r="E7" s="541"/>
      <c r="F7"/>
      <c r="G7"/>
      <c r="H7" s="621"/>
      <c r="I7" s="108">
        <f>'Actual IS'!J17</f>
        <v>11828</v>
      </c>
      <c r="J7" s="108">
        <f>'Actual IS'!K17</f>
        <v>11331</v>
      </c>
      <c r="K7" s="529">
        <f>'Actual IS'!L17</f>
        <v>11215</v>
      </c>
      <c r="L7" s="5">
        <f>K7*(1+L$34)</f>
        <v>11215</v>
      </c>
      <c r="M7" s="5">
        <f>L7*(1+M34)</f>
        <v>11775.75</v>
      </c>
      <c r="N7" s="5">
        <f>M7*(1+N34)</f>
        <v>12011.264999999999</v>
      </c>
      <c r="O7" s="5">
        <f>N7*(1+O34)</f>
        <v>12251.490299999999</v>
      </c>
      <c r="P7" s="5">
        <f>O7*(1+P34)</f>
        <v>12496.520106</v>
      </c>
      <c r="Q7" s="61"/>
      <c r="R7" s="211">
        <f>RATE($P$5-K$5,0,-SUM(K7:K8),SUM(P7:P8))</f>
        <v>2.1734174836175842E-2</v>
      </c>
      <c r="T7" s="66"/>
      <c r="U7" s="572"/>
      <c r="Z7" s="474" t="s">
        <v>270</v>
      </c>
      <c r="AA7" s="583"/>
      <c r="AB7" s="597"/>
      <c r="AC7" s="587" t="s">
        <v>271</v>
      </c>
      <c r="AD7" s="583"/>
      <c r="AE7" s="597"/>
      <c r="AF7" s="587" t="s">
        <v>274</v>
      </c>
      <c r="AG7" s="562"/>
    </row>
    <row r="8" spans="1:255" s="33" customFormat="1">
      <c r="A8" s="89"/>
      <c r="B8" s="1145" t="str">
        <f>CONCATENATE('Actual IS'!A18," (1)")</f>
        <v>Investment Income (1)</v>
      </c>
      <c r="E8" s="541"/>
      <c r="F8"/>
      <c r="G8"/>
      <c r="H8" s="621"/>
      <c r="I8" s="108">
        <f>'Actual IS'!J18</f>
        <v>1732</v>
      </c>
      <c r="J8" s="108">
        <f>'Actual IS'!K18</f>
        <v>1649</v>
      </c>
      <c r="K8" s="529">
        <f>'Actual IS'!L18</f>
        <v>1809</v>
      </c>
      <c r="L8" s="5">
        <v>1800</v>
      </c>
      <c r="M8" s="5">
        <f>L8*(1+M$34)</f>
        <v>1890</v>
      </c>
      <c r="N8" s="5">
        <f>M8*(1+N$34)</f>
        <v>1927.8</v>
      </c>
      <c r="O8" s="5">
        <f>N8*(1+O$34)</f>
        <v>1966.356</v>
      </c>
      <c r="P8" s="5">
        <f>O8*(1+P$34)</f>
        <v>2005.6831199999999</v>
      </c>
      <c r="Q8" s="61"/>
      <c r="R8" s="211"/>
      <c r="T8" s="66"/>
      <c r="U8" s="572"/>
      <c r="Z8" s="651"/>
      <c r="AA8" s="584"/>
      <c r="AB8" s="110"/>
      <c r="AC8" s="652"/>
      <c r="AD8" s="584"/>
      <c r="AE8" s="110"/>
      <c r="AF8" s="652"/>
      <c r="AG8" s="478"/>
    </row>
    <row r="9" spans="1:255" s="33" customFormat="1">
      <c r="A9" s="89"/>
      <c r="B9" s="902" t="str">
        <f>'Actual IS'!A31</f>
        <v>Losses and Loss Expenses</v>
      </c>
      <c r="F9"/>
      <c r="G9"/>
      <c r="H9" s="622"/>
      <c r="I9" s="108">
        <f>'Actual IS'!J31</f>
        <v>6898</v>
      </c>
      <c r="J9" s="108">
        <f>'Actual IS'!K31</f>
        <v>6268</v>
      </c>
      <c r="K9" s="529">
        <f>'Actual IS'!L31</f>
        <v>6499</v>
      </c>
      <c r="L9" s="6">
        <f>L7*L35</f>
        <v>6616.8499999999995</v>
      </c>
      <c r="M9" s="6">
        <f>M7*M35</f>
        <v>6947.6924999999992</v>
      </c>
      <c r="N9" s="6">
        <f>N7*N35</f>
        <v>7086.6463499999991</v>
      </c>
      <c r="O9" s="6">
        <f>O7*O35</f>
        <v>7228.3792769999991</v>
      </c>
      <c r="P9" s="6">
        <f>P7*P35</f>
        <v>7372.9468625399995</v>
      </c>
      <c r="Q9" s="61"/>
      <c r="R9" s="65"/>
      <c r="T9" s="66"/>
      <c r="U9" s="572"/>
      <c r="Z9" s="475" t="s">
        <v>278</v>
      </c>
      <c r="AA9" s="584"/>
      <c r="AB9" s="110"/>
      <c r="AC9" s="588" t="s">
        <v>278</v>
      </c>
      <c r="AD9" s="584"/>
      <c r="AE9" s="110"/>
      <c r="AF9" s="588" t="s">
        <v>275</v>
      </c>
      <c r="AG9" s="478"/>
    </row>
    <row r="10" spans="1:255" s="33" customFormat="1">
      <c r="A10" s="89"/>
      <c r="B10" s="902" t="str">
        <f>'Actual IS'!A32</f>
        <v>Amortization of Deferred Policy Acquisition Costs</v>
      </c>
      <c r="F10"/>
      <c r="G10"/>
      <c r="H10" s="622"/>
      <c r="I10" s="108">
        <f>'Actual IS'!J32</f>
        <v>3123</v>
      </c>
      <c r="J10" s="108">
        <f>'Actual IS'!K32</f>
        <v>3021</v>
      </c>
      <c r="K10" s="529">
        <f>'Actual IS'!L32</f>
        <v>3496</v>
      </c>
      <c r="L10" s="6">
        <f>L7*L36</f>
        <v>3364.5</v>
      </c>
      <c r="M10" s="6">
        <f>M7*M36</f>
        <v>3532.7249999999999</v>
      </c>
      <c r="N10" s="6">
        <f>N7*N36</f>
        <v>3603.3794999999996</v>
      </c>
      <c r="O10" s="6">
        <f>O7*O36</f>
        <v>3675.4470899999997</v>
      </c>
      <c r="P10" s="6">
        <f>P7*P36</f>
        <v>3748.9560317999999</v>
      </c>
      <c r="Q10" s="61"/>
      <c r="R10" s="65"/>
      <c r="T10" s="66"/>
      <c r="U10" s="572"/>
      <c r="Z10" s="475"/>
      <c r="AA10" s="584"/>
      <c r="AB10" s="110"/>
      <c r="AC10" s="588"/>
      <c r="AD10" s="584"/>
      <c r="AE10" s="110"/>
      <c r="AF10" s="588"/>
      <c r="AG10" s="478"/>
    </row>
    <row r="11" spans="1:255" s="33" customFormat="1">
      <c r="A11" s="89"/>
      <c r="B11" s="61"/>
      <c r="C11" s="82" t="s">
        <v>191</v>
      </c>
      <c r="F11"/>
      <c r="G11"/>
      <c r="H11" s="622"/>
      <c r="I11" s="366">
        <f>SUM(I7:I8)-SUM(I9:I10)</f>
        <v>3539</v>
      </c>
      <c r="J11" s="366">
        <f>SUM(J7:J8)-SUM(J9:J10)</f>
        <v>3691</v>
      </c>
      <c r="K11" s="528">
        <f>SUM(K7:K8)-SUM(K9:K10)</f>
        <v>3029</v>
      </c>
      <c r="L11" s="366">
        <f>SUM(L7:L8)-SUM(L9:L10)</f>
        <v>3033.6500000000015</v>
      </c>
      <c r="M11" s="366">
        <f t="shared" ref="M11:P11" si="0">SUM(M7:M8)-SUM(M9:M10)</f>
        <v>3185.3325000000004</v>
      </c>
      <c r="N11" s="366">
        <f t="shared" si="0"/>
        <v>3249.0391500000005</v>
      </c>
      <c r="O11" s="366">
        <f t="shared" si="0"/>
        <v>3314.0199330000014</v>
      </c>
      <c r="P11" s="366">
        <f t="shared" si="0"/>
        <v>3380.3003316600007</v>
      </c>
      <c r="Q11" s="61"/>
      <c r="R11" s="211">
        <f>RATE($P$5-K$5,0,-K11,P11)</f>
        <v>2.218899961029891E-2</v>
      </c>
      <c r="T11" s="50"/>
      <c r="U11" s="573"/>
      <c r="V11"/>
      <c r="Z11" s="636" t="s">
        <v>296</v>
      </c>
      <c r="AA11" s="585"/>
      <c r="AB11" s="110"/>
      <c r="AC11" s="634" t="s">
        <v>272</v>
      </c>
      <c r="AD11" s="585"/>
      <c r="AE11" s="110"/>
      <c r="AF11" s="634" t="s">
        <v>281</v>
      </c>
      <c r="AG11" s="563"/>
    </row>
    <row r="12" spans="1:255" s="33" customFormat="1">
      <c r="A12" s="89"/>
      <c r="B12" s="82"/>
      <c r="E12" s="66"/>
      <c r="F12"/>
      <c r="G12"/>
      <c r="H12" s="622"/>
      <c r="I12" s="6"/>
      <c r="J12" s="6"/>
      <c r="K12" s="569"/>
      <c r="L12" s="1139"/>
      <c r="M12" s="1139"/>
      <c r="N12" s="1139"/>
      <c r="O12" s="1139"/>
      <c r="P12" s="1139"/>
      <c r="Q12" s="61"/>
      <c r="T12" s="50"/>
      <c r="U12" s="573"/>
      <c r="V12"/>
      <c r="Z12" s="473">
        <v>22</v>
      </c>
      <c r="AA12" s="584" t="s">
        <v>254</v>
      </c>
      <c r="AB12" s="110"/>
      <c r="AC12" s="589">
        <f>175+7</f>
        <v>182</v>
      </c>
      <c r="AD12" s="584" t="s">
        <v>254</v>
      </c>
      <c r="AE12" s="110"/>
      <c r="AF12" s="589">
        <v>-20</v>
      </c>
      <c r="AG12" s="478" t="s">
        <v>254</v>
      </c>
    </row>
    <row r="13" spans="1:255" s="33" customFormat="1">
      <c r="A13" s="89"/>
      <c r="B13" s="61" t="s">
        <v>1054</v>
      </c>
      <c r="E13"/>
      <c r="F13"/>
      <c r="G13"/>
      <c r="H13" s="622"/>
      <c r="I13" s="108">
        <f>'Income Statement'!J11-I17</f>
        <v>283</v>
      </c>
      <c r="J13" s="108">
        <f>'Income Statement'!K11-J17</f>
        <v>285</v>
      </c>
      <c r="K13" s="142">
        <f>'Income Statement'!L11-K17</f>
        <v>279</v>
      </c>
      <c r="L13" s="6">
        <f>L7*L38</f>
        <v>336.45</v>
      </c>
      <c r="M13" s="6">
        <f>M7*M38</f>
        <v>353.27249999999998</v>
      </c>
      <c r="N13" s="6">
        <f>N7*N38</f>
        <v>360.33794999999998</v>
      </c>
      <c r="O13" s="6">
        <f>O7*O38</f>
        <v>367.54470899999995</v>
      </c>
      <c r="P13" s="6">
        <f>P7*P38</f>
        <v>374.89560317999997</v>
      </c>
      <c r="Q13" s="61"/>
      <c r="T13" s="66"/>
      <c r="U13" s="573"/>
      <c r="V13"/>
      <c r="Z13" s="648">
        <v>17</v>
      </c>
      <c r="AA13" s="584" t="s">
        <v>298</v>
      </c>
      <c r="AB13" s="110"/>
      <c r="AC13" s="629">
        <v>7</v>
      </c>
      <c r="AD13" s="584" t="s">
        <v>298</v>
      </c>
      <c r="AE13" s="596"/>
      <c r="AF13" s="590">
        <v>13</v>
      </c>
      <c r="AG13" s="478" t="s">
        <v>255</v>
      </c>
    </row>
    <row r="14" spans="1:255" s="33" customFormat="1">
      <c r="A14" s="613"/>
      <c r="B14" s="61" t="s">
        <v>1065</v>
      </c>
      <c r="C14" s="609"/>
      <c r="D14" s="609"/>
      <c r="E14" s="609"/>
      <c r="F14" s="609"/>
      <c r="G14" s="609"/>
      <c r="H14" s="612"/>
      <c r="I14" s="63">
        <f>SUM('Actual IS'!J33:J36)-SUM('Actual IS'!J20:J27)-I13-I21</f>
        <v>609</v>
      </c>
      <c r="J14" s="63">
        <f>SUM('Actual IS'!K33:K36)-SUM('Actual IS'!K20:K27)-J13-J21</f>
        <v>196</v>
      </c>
      <c r="K14" s="1136">
        <f>-234-K21</f>
        <v>-478</v>
      </c>
      <c r="L14" s="614">
        <f>L39</f>
        <v>0</v>
      </c>
      <c r="M14" s="614">
        <f>M39</f>
        <v>0</v>
      </c>
      <c r="N14" s="614">
        <f>N39</f>
        <v>0</v>
      </c>
      <c r="O14" s="614">
        <f>O39</f>
        <v>0</v>
      </c>
      <c r="P14" s="614">
        <f>P39</f>
        <v>0</v>
      </c>
      <c r="Q14" s="61"/>
      <c r="R14" s="65"/>
      <c r="S14" s="609" t="s">
        <v>297</v>
      </c>
      <c r="T14" s="610"/>
      <c r="U14" s="610"/>
      <c r="V14" s="610"/>
      <c r="W14" s="610"/>
      <c r="X14" s="610"/>
      <c r="Y14" s="610"/>
      <c r="Z14" s="480">
        <f>Z12-Z13</f>
        <v>5</v>
      </c>
      <c r="AA14" s="584"/>
      <c r="AB14" s="594"/>
      <c r="AC14" s="586">
        <f>AC12-AC13</f>
        <v>175</v>
      </c>
      <c r="AD14" s="584"/>
      <c r="AE14" s="594"/>
      <c r="AF14" s="591">
        <f>SUM(AF12:AF13)</f>
        <v>-7</v>
      </c>
      <c r="AG14" s="478" t="s">
        <v>253</v>
      </c>
      <c r="AH14" s="609"/>
      <c r="AI14" s="609"/>
      <c r="AJ14" s="609"/>
      <c r="AK14" s="609"/>
      <c r="AL14" s="609"/>
      <c r="AM14" s="609"/>
      <c r="AN14" s="609"/>
      <c r="AO14" s="609"/>
      <c r="AP14" s="609"/>
      <c r="AQ14" s="609"/>
      <c r="AR14" s="609"/>
      <c r="AS14" s="609"/>
      <c r="AT14" s="609"/>
      <c r="AU14" s="609"/>
      <c r="AV14" s="609"/>
      <c r="AW14" s="609"/>
      <c r="AX14" s="609"/>
      <c r="AY14" s="609"/>
      <c r="AZ14" s="609"/>
      <c r="BA14" s="609"/>
      <c r="BB14" s="609"/>
      <c r="BC14" s="609"/>
      <c r="BD14" s="609"/>
      <c r="BE14" s="609"/>
      <c r="BF14" s="609"/>
      <c r="BG14" s="609"/>
      <c r="BH14" s="609"/>
      <c r="BI14" s="609"/>
      <c r="BJ14" s="609"/>
      <c r="BK14" s="609"/>
      <c r="BL14" s="609"/>
      <c r="BM14" s="609"/>
      <c r="BN14" s="609"/>
      <c r="BO14" s="609"/>
      <c r="BP14" s="609"/>
      <c r="BQ14" s="609"/>
      <c r="BR14" s="609"/>
      <c r="BS14" s="609"/>
      <c r="BT14" s="609"/>
      <c r="BU14" s="609"/>
      <c r="BV14" s="609"/>
      <c r="BW14" s="609"/>
      <c r="BX14" s="609"/>
      <c r="BY14" s="609"/>
      <c r="BZ14" s="609"/>
      <c r="CA14" s="609"/>
      <c r="CB14" s="609"/>
      <c r="CC14" s="609"/>
      <c r="CD14" s="609"/>
      <c r="CE14" s="609"/>
      <c r="CF14" s="609"/>
      <c r="CG14" s="609"/>
      <c r="CH14" s="609"/>
      <c r="CI14" s="609"/>
      <c r="CJ14" s="609"/>
      <c r="CK14" s="609"/>
      <c r="CL14" s="609"/>
      <c r="CM14" s="609"/>
      <c r="CN14" s="609"/>
      <c r="CO14" s="609"/>
      <c r="CP14" s="609"/>
      <c r="CQ14" s="609"/>
      <c r="CR14" s="609"/>
      <c r="CS14" s="609"/>
      <c r="CT14" s="609"/>
      <c r="CU14" s="609"/>
      <c r="CV14" s="609"/>
      <c r="CW14" s="609"/>
      <c r="CX14" s="609"/>
      <c r="CY14" s="609"/>
      <c r="CZ14" s="609"/>
      <c r="DA14" s="609"/>
      <c r="DB14" s="609"/>
      <c r="DC14" s="609"/>
      <c r="DD14" s="609"/>
      <c r="DE14" s="609"/>
      <c r="DF14" s="609"/>
      <c r="DG14" s="609"/>
      <c r="DH14" s="609"/>
      <c r="DI14" s="609"/>
      <c r="DJ14" s="609"/>
      <c r="DK14" s="609"/>
      <c r="DL14" s="609"/>
      <c r="DM14" s="609"/>
      <c r="DN14" s="609"/>
      <c r="DO14" s="609"/>
      <c r="DP14" s="609"/>
      <c r="DQ14" s="609"/>
      <c r="DR14" s="609"/>
      <c r="DS14" s="609"/>
      <c r="DT14" s="609"/>
      <c r="DU14" s="609"/>
      <c r="DV14" s="609"/>
      <c r="DW14" s="609"/>
      <c r="DX14" s="609"/>
      <c r="DY14" s="609"/>
      <c r="DZ14" s="609"/>
      <c r="EA14" s="609"/>
      <c r="EB14" s="609"/>
      <c r="EC14" s="609"/>
      <c r="ED14" s="609"/>
      <c r="EE14" s="609"/>
      <c r="EF14" s="609"/>
      <c r="EG14" s="609"/>
      <c r="EH14" s="609"/>
      <c r="EI14" s="609"/>
      <c r="EJ14" s="609"/>
      <c r="EK14" s="609"/>
      <c r="EL14" s="609"/>
      <c r="EM14" s="609"/>
      <c r="EN14" s="609"/>
      <c r="EO14" s="609"/>
      <c r="EP14" s="609"/>
      <c r="EQ14" s="609"/>
      <c r="ER14" s="609"/>
      <c r="ES14" s="609"/>
      <c r="ET14" s="609"/>
      <c r="EU14" s="609"/>
      <c r="EV14" s="609"/>
      <c r="EW14" s="609"/>
      <c r="EX14" s="609"/>
      <c r="EY14" s="609"/>
      <c r="EZ14" s="609"/>
      <c r="FA14" s="609"/>
      <c r="FB14" s="609"/>
      <c r="FC14" s="609"/>
      <c r="FD14" s="609"/>
      <c r="FE14" s="609"/>
      <c r="FF14" s="609"/>
      <c r="FG14" s="609"/>
      <c r="FH14" s="609"/>
      <c r="FI14" s="609"/>
      <c r="FJ14" s="609"/>
      <c r="FK14" s="609"/>
      <c r="FL14" s="609"/>
      <c r="FM14" s="609"/>
      <c r="FN14" s="609"/>
      <c r="FO14" s="609"/>
      <c r="FP14" s="609"/>
      <c r="FQ14" s="609"/>
      <c r="FR14" s="609"/>
      <c r="FS14" s="609"/>
      <c r="FT14" s="609"/>
      <c r="FU14" s="609"/>
      <c r="FV14" s="609"/>
      <c r="FW14" s="609"/>
      <c r="FX14" s="609"/>
      <c r="FY14" s="609"/>
      <c r="FZ14" s="609"/>
      <c r="GA14" s="609"/>
      <c r="GB14" s="609"/>
      <c r="GC14" s="609"/>
      <c r="GD14" s="609"/>
      <c r="GE14" s="609"/>
      <c r="GF14" s="609"/>
      <c r="GG14" s="609"/>
      <c r="GH14" s="609"/>
      <c r="GI14" s="609"/>
      <c r="GJ14" s="609"/>
      <c r="GK14" s="609"/>
      <c r="GL14" s="609"/>
      <c r="GM14" s="609"/>
      <c r="GN14" s="609"/>
      <c r="GO14" s="609"/>
      <c r="GP14" s="609"/>
      <c r="GQ14" s="609"/>
      <c r="GR14" s="609"/>
      <c r="GS14" s="609"/>
      <c r="GT14" s="609"/>
      <c r="GU14" s="609"/>
      <c r="GV14" s="609"/>
      <c r="GW14" s="609"/>
      <c r="GX14" s="609"/>
      <c r="GY14" s="609"/>
      <c r="GZ14" s="609"/>
      <c r="HA14" s="609"/>
      <c r="HB14" s="609"/>
      <c r="HC14" s="609"/>
      <c r="HD14" s="609"/>
      <c r="HE14" s="609"/>
      <c r="HF14" s="609"/>
      <c r="HG14" s="609"/>
      <c r="HH14" s="609"/>
      <c r="HI14" s="609"/>
      <c r="HJ14" s="609"/>
      <c r="HK14" s="609"/>
      <c r="HL14" s="609"/>
      <c r="HM14" s="609"/>
      <c r="HN14" s="609"/>
      <c r="HO14" s="609"/>
      <c r="HP14" s="609"/>
      <c r="HQ14" s="609"/>
      <c r="HR14" s="609"/>
      <c r="HS14" s="609"/>
      <c r="HT14" s="609"/>
      <c r="HU14" s="609"/>
      <c r="HV14" s="609"/>
      <c r="HW14" s="609"/>
      <c r="HX14" s="609"/>
      <c r="HY14" s="609"/>
      <c r="HZ14" s="609"/>
      <c r="IA14" s="609"/>
      <c r="IB14" s="609"/>
      <c r="IC14" s="609"/>
      <c r="ID14" s="609"/>
      <c r="IE14" s="609"/>
      <c r="IF14" s="609"/>
      <c r="IG14" s="609"/>
      <c r="IH14" s="609"/>
      <c r="II14" s="609"/>
      <c r="IJ14" s="609"/>
      <c r="IK14" s="609"/>
      <c r="IL14" s="609"/>
      <c r="IM14" s="609"/>
      <c r="IN14" s="609"/>
      <c r="IO14" s="609"/>
      <c r="IP14" s="609"/>
      <c r="IQ14" s="609"/>
      <c r="IR14" s="609"/>
      <c r="IS14" s="609"/>
      <c r="IT14" s="609"/>
      <c r="IU14" s="609"/>
    </row>
    <row r="15" spans="1:255" s="82" customFormat="1">
      <c r="A15" s="101" t="s">
        <v>118</v>
      </c>
      <c r="C15" s="82" t="s">
        <v>193</v>
      </c>
      <c r="E15" s="18"/>
      <c r="F15" s="27"/>
      <c r="G15" s="27"/>
      <c r="H15" s="623"/>
      <c r="I15" s="366">
        <f>I11-SUM(I13:I14)</f>
        <v>2647</v>
      </c>
      <c r="J15" s="366">
        <f>J11-SUM(J13:J14)</f>
        <v>3210</v>
      </c>
      <c r="K15" s="528">
        <f>K11-SUM(K13:K14)</f>
        <v>3228</v>
      </c>
      <c r="L15" s="366">
        <f t="shared" ref="L15:P15" si="1">L11-SUM(L13:L14)</f>
        <v>2697.2000000000016</v>
      </c>
      <c r="M15" s="366">
        <f t="shared" si="1"/>
        <v>2832.0600000000004</v>
      </c>
      <c r="N15" s="366">
        <f t="shared" si="1"/>
        <v>2888.7012000000004</v>
      </c>
      <c r="O15" s="366">
        <f t="shared" si="1"/>
        <v>2946.4752240000016</v>
      </c>
      <c r="P15" s="366">
        <f t="shared" si="1"/>
        <v>3005.4047284800008</v>
      </c>
      <c r="Q15" s="61"/>
      <c r="R15" s="211">
        <f>RATE($P$5-K$5,0,-K15,P15)</f>
        <v>-1.4188482420659499E-2</v>
      </c>
      <c r="T15" s="450"/>
      <c r="Z15" s="459">
        <v>-15</v>
      </c>
      <c r="AA15" s="584" t="s">
        <v>255</v>
      </c>
      <c r="AB15" s="110"/>
      <c r="AC15" s="590">
        <f>-102-5</f>
        <v>-107</v>
      </c>
      <c r="AD15" s="584" t="s">
        <v>255</v>
      </c>
      <c r="AE15" s="110"/>
      <c r="AF15" s="592">
        <f>AF14/AF12</f>
        <v>0.35</v>
      </c>
      <c r="AG15" s="478" t="s">
        <v>256</v>
      </c>
    </row>
    <row r="16" spans="1:255" s="33" customFormat="1">
      <c r="A16" s="89"/>
      <c r="B16" s="82"/>
      <c r="E16" s="541"/>
      <c r="F16" s="6"/>
      <c r="G16" s="6"/>
      <c r="H16" s="631"/>
      <c r="I16" s="6"/>
      <c r="J16" s="6"/>
      <c r="K16" s="506"/>
      <c r="L16" s="227"/>
      <c r="M16" s="6"/>
      <c r="N16" s="6"/>
      <c r="O16" s="6"/>
      <c r="P16" s="6"/>
      <c r="Q16" s="61"/>
      <c r="R16" s="211"/>
      <c r="T16" s="66"/>
      <c r="V16" s="34"/>
      <c r="Z16" s="477">
        <f>Z12+Z15</f>
        <v>7</v>
      </c>
      <c r="AA16" s="584" t="s">
        <v>253</v>
      </c>
      <c r="AB16" s="110"/>
      <c r="AC16" s="591">
        <f>AC12+AC15</f>
        <v>75</v>
      </c>
      <c r="AD16" s="584" t="s">
        <v>253</v>
      </c>
      <c r="AE16" s="596"/>
      <c r="AF16" s="586"/>
      <c r="AG16" s="564"/>
    </row>
    <row r="17" spans="1:34" s="33" customFormat="1">
      <c r="A17" s="89"/>
      <c r="B17" s="391" t="s">
        <v>199</v>
      </c>
      <c r="E17" s="541"/>
      <c r="G17" s="64"/>
      <c r="H17" s="624"/>
      <c r="I17" s="108">
        <v>69</v>
      </c>
      <c r="J17" s="108">
        <v>64</v>
      </c>
      <c r="K17" s="529">
        <v>69</v>
      </c>
      <c r="L17" s="68">
        <v>0</v>
      </c>
      <c r="M17" s="68">
        <v>0</v>
      </c>
      <c r="N17" s="68">
        <v>0</v>
      </c>
      <c r="O17" s="68">
        <v>0</v>
      </c>
      <c r="P17" s="68">
        <v>0</v>
      </c>
      <c r="Q17" s="61"/>
      <c r="R17" s="65"/>
      <c r="T17" s="66"/>
      <c r="V17" s="80"/>
      <c r="Z17" s="479">
        <f>Z16/Z12</f>
        <v>0.31818181818181818</v>
      </c>
      <c r="AA17" s="584" t="s">
        <v>256</v>
      </c>
      <c r="AB17" s="110"/>
      <c r="AC17" s="592">
        <f>AC16/AC12</f>
        <v>0.41208791208791207</v>
      </c>
      <c r="AD17" s="584" t="s">
        <v>256</v>
      </c>
      <c r="AE17" s="110"/>
      <c r="AF17" s="588" t="s">
        <v>280</v>
      </c>
      <c r="AG17" s="476"/>
    </row>
    <row r="18" spans="1:34" s="33" customFormat="1">
      <c r="A18" s="89"/>
      <c r="B18" s="391" t="s">
        <v>1052</v>
      </c>
      <c r="E18" s="541"/>
      <c r="H18" s="622"/>
      <c r="I18" s="108">
        <v>0</v>
      </c>
      <c r="J18" s="108">
        <v>0</v>
      </c>
      <c r="K18" s="530">
        <v>0</v>
      </c>
      <c r="L18" s="68">
        <v>0</v>
      </c>
      <c r="M18" s="68">
        <v>0</v>
      </c>
      <c r="N18" s="68">
        <v>0</v>
      </c>
      <c r="O18" s="68">
        <v>0</v>
      </c>
      <c r="P18" s="68">
        <v>0</v>
      </c>
      <c r="Q18" s="61"/>
      <c r="R18" s="65"/>
      <c r="T18" s="66"/>
      <c r="V18" s="80"/>
      <c r="Z18" s="479"/>
      <c r="AA18" s="584"/>
      <c r="AB18" s="110"/>
      <c r="AC18" s="110"/>
      <c r="AD18" s="110"/>
      <c r="AE18" s="110"/>
      <c r="AF18" s="634" t="s">
        <v>281</v>
      </c>
      <c r="AG18" s="563"/>
    </row>
    <row r="19" spans="1:34" s="33" customFormat="1">
      <c r="A19" s="89" t="s">
        <v>118</v>
      </c>
      <c r="C19" s="33" t="s">
        <v>257</v>
      </c>
      <c r="H19" s="622"/>
      <c r="I19" s="366">
        <f>I15-SUM(I17:I18)</f>
        <v>2578</v>
      </c>
      <c r="J19" s="366">
        <f>J15-SUM(J17:J18)</f>
        <v>3146</v>
      </c>
      <c r="K19" s="528">
        <f>K15-SUM(K17:K18)</f>
        <v>3159</v>
      </c>
      <c r="L19" s="366">
        <f>L15-SUM(L17:L18)</f>
        <v>2697.2000000000016</v>
      </c>
      <c r="M19" s="366">
        <f>M15-SUM(M17:M18)</f>
        <v>2832.0600000000004</v>
      </c>
      <c r="N19" s="366">
        <f t="shared" ref="N19:P19" si="2">N15-SUM(N17:N18)</f>
        <v>2888.7012000000004</v>
      </c>
      <c r="O19" s="366">
        <f t="shared" si="2"/>
        <v>2946.4752240000016</v>
      </c>
      <c r="P19" s="366">
        <f t="shared" si="2"/>
        <v>3005.4047284800008</v>
      </c>
      <c r="Q19" s="61"/>
      <c r="R19" s="211">
        <f>RATE($P$5-K$5,0,-K19,P19)</f>
        <v>-9.9191332234372463E-3</v>
      </c>
      <c r="T19" s="66"/>
      <c r="Z19" s="475" t="s">
        <v>308</v>
      </c>
      <c r="AA19" s="586"/>
      <c r="AB19" s="110"/>
      <c r="AC19" s="593" t="s">
        <v>285</v>
      </c>
      <c r="AD19" s="595"/>
      <c r="AE19" s="110"/>
      <c r="AF19" s="589">
        <v>-23</v>
      </c>
      <c r="AG19" s="478" t="s">
        <v>254</v>
      </c>
    </row>
    <row r="20" spans="1:34" s="33" customFormat="1">
      <c r="A20" s="89"/>
      <c r="C20" s="541"/>
      <c r="G20" s="541"/>
      <c r="H20" s="622"/>
      <c r="I20" s="6"/>
      <c r="J20" s="6"/>
      <c r="K20" s="569"/>
      <c r="L20" s="252"/>
      <c r="M20" s="252"/>
      <c r="N20" s="252"/>
      <c r="O20" s="252"/>
      <c r="P20" s="252"/>
      <c r="Q20" s="61"/>
      <c r="R20" s="211"/>
      <c r="T20" s="67" t="s">
        <v>125</v>
      </c>
      <c r="Z20" s="636" t="s">
        <v>272</v>
      </c>
      <c r="AA20" s="585"/>
      <c r="AB20" s="110"/>
      <c r="AC20" s="634" t="s">
        <v>279</v>
      </c>
      <c r="AD20" s="585"/>
      <c r="AE20" s="110"/>
      <c r="AF20" s="590">
        <v>14</v>
      </c>
      <c r="AG20" s="478" t="s">
        <v>255</v>
      </c>
    </row>
    <row r="21" spans="1:34" s="33" customFormat="1">
      <c r="A21" s="89"/>
      <c r="B21" s="82" t="s">
        <v>288</v>
      </c>
      <c r="H21" s="622"/>
      <c r="I21" s="63">
        <v>240</v>
      </c>
      <c r="J21" s="63">
        <v>248</v>
      </c>
      <c r="K21" s="529">
        <v>244</v>
      </c>
      <c r="L21" s="63">
        <v>463</v>
      </c>
      <c r="M21" s="63">
        <v>463</v>
      </c>
      <c r="N21" s="63">
        <v>418</v>
      </c>
      <c r="O21" s="63">
        <v>418</v>
      </c>
      <c r="P21" s="63">
        <v>418</v>
      </c>
      <c r="Q21" s="61"/>
      <c r="R21" s="65"/>
      <c r="T21" s="68">
        <f>debt_interest!T38</f>
        <v>0</v>
      </c>
      <c r="U21" s="68">
        <f>debt_interest!U38</f>
        <v>0</v>
      </c>
      <c r="V21" s="68">
        <f>debt_interest!V38</f>
        <v>0</v>
      </c>
      <c r="W21" s="68">
        <f>debt_interest!W38</f>
        <v>0</v>
      </c>
      <c r="X21" s="68">
        <f>debt_interest!X38</f>
        <v>0</v>
      </c>
      <c r="Y21" s="417"/>
      <c r="Z21" s="473">
        <v>67</v>
      </c>
      <c r="AA21" s="584" t="s">
        <v>254</v>
      </c>
      <c r="AB21" s="110"/>
      <c r="AC21" s="589">
        <v>6</v>
      </c>
      <c r="AD21" s="584" t="s">
        <v>254</v>
      </c>
      <c r="AE21" s="110"/>
      <c r="AF21" s="591">
        <f>SUM(AF19:AF20)</f>
        <v>-9</v>
      </c>
      <c r="AG21" s="478" t="s">
        <v>253</v>
      </c>
    </row>
    <row r="22" spans="1:34" s="33" customFormat="1">
      <c r="A22" s="89"/>
      <c r="C22" s="82" t="s">
        <v>194</v>
      </c>
      <c r="H22" s="622"/>
      <c r="I22" s="366">
        <f t="shared" ref="I22:P22" si="3">I19-SUM(I21:I21)</f>
        <v>2338</v>
      </c>
      <c r="J22" s="366">
        <f t="shared" si="3"/>
        <v>2898</v>
      </c>
      <c r="K22" s="528">
        <f t="shared" si="3"/>
        <v>2915</v>
      </c>
      <c r="L22" s="366">
        <f t="shared" si="3"/>
        <v>2234.2000000000016</v>
      </c>
      <c r="M22" s="366">
        <f t="shared" si="3"/>
        <v>2369.0600000000004</v>
      </c>
      <c r="N22" s="366">
        <f t="shared" si="3"/>
        <v>2470.7012000000004</v>
      </c>
      <c r="O22" s="366">
        <f t="shared" si="3"/>
        <v>2528.4752240000016</v>
      </c>
      <c r="P22" s="366">
        <f t="shared" si="3"/>
        <v>2587.4047284800008</v>
      </c>
      <c r="Q22" s="61"/>
      <c r="R22" s="211">
        <f>RATE($P$5-K$5,0,-K22,P22)</f>
        <v>-2.3560900154631977E-2</v>
      </c>
      <c r="T22" s="66"/>
      <c r="Z22" s="477">
        <f>SUM(Z21:Z21)</f>
        <v>67</v>
      </c>
      <c r="AA22" s="584" t="s">
        <v>253</v>
      </c>
      <c r="AB22" s="110"/>
      <c r="AC22" s="591">
        <f>AC23*AC21</f>
        <v>2.34</v>
      </c>
      <c r="AD22" s="584" t="s">
        <v>253</v>
      </c>
      <c r="AE22" s="584"/>
      <c r="AF22" s="110"/>
      <c r="AG22" s="511"/>
    </row>
    <row r="23" spans="1:34" s="33" customFormat="1">
      <c r="A23" s="89"/>
      <c r="D23"/>
      <c r="E23"/>
      <c r="F23"/>
      <c r="G23"/>
      <c r="H23" s="622"/>
      <c r="I23" s="6"/>
      <c r="J23" s="571"/>
      <c r="K23" s="569"/>
      <c r="L23" s="13"/>
      <c r="M23" s="13"/>
      <c r="N23" s="13"/>
      <c r="O23" s="13"/>
      <c r="P23" s="13"/>
      <c r="Q23" s="61"/>
      <c r="R23" s="61"/>
      <c r="T23" s="66"/>
      <c r="Z23" s="479">
        <f>Z22/Z21</f>
        <v>1</v>
      </c>
      <c r="AA23" s="584" t="s">
        <v>256</v>
      </c>
      <c r="AB23" s="110"/>
      <c r="AC23" s="611">
        <v>0.39</v>
      </c>
      <c r="AD23" s="584" t="s">
        <v>256</v>
      </c>
      <c r="AE23" s="584"/>
      <c r="AF23" s="588" t="s">
        <v>282</v>
      </c>
      <c r="AG23" s="476"/>
      <c r="AH23" s="541"/>
    </row>
    <row r="24" spans="1:34" s="33" customFormat="1">
      <c r="A24" s="89"/>
      <c r="B24" s="82" t="s">
        <v>291</v>
      </c>
      <c r="G24"/>
      <c r="H24" s="612"/>
      <c r="I24" s="63">
        <f>'Income Statement'!J18</f>
        <v>603</v>
      </c>
      <c r="J24" s="63">
        <f>'Income Statement'!K18</f>
        <v>779</v>
      </c>
      <c r="K24" s="529">
        <f>'Actual IS'!L41</f>
        <v>742</v>
      </c>
      <c r="L24" s="69">
        <f>L22*L40</f>
        <v>625.57600000000048</v>
      </c>
      <c r="M24" s="69">
        <f>M22*M40</f>
        <v>663.33680000000015</v>
      </c>
      <c r="N24" s="69">
        <f>N22*N40</f>
        <v>691.79633600000022</v>
      </c>
      <c r="O24" s="69">
        <f>O22*O40</f>
        <v>707.97306272000048</v>
      </c>
      <c r="P24" s="69">
        <f>P22*P40</f>
        <v>724.47332397440027</v>
      </c>
      <c r="Q24" s="61"/>
      <c r="R24" s="62"/>
      <c r="T24" s="66"/>
      <c r="Z24" s="628"/>
      <c r="AA24" s="584"/>
      <c r="AB24" s="110"/>
      <c r="AC24" s="584"/>
      <c r="AD24" s="584"/>
      <c r="AE24" s="584"/>
      <c r="AF24" s="634" t="s">
        <v>279</v>
      </c>
      <c r="AG24" s="563"/>
    </row>
    <row r="25" spans="1:34" s="33" customFormat="1">
      <c r="A25" s="89" t="s">
        <v>118</v>
      </c>
      <c r="B25" s="35"/>
      <c r="C25" s="35" t="s">
        <v>195</v>
      </c>
      <c r="G25"/>
      <c r="H25" s="612"/>
      <c r="I25" s="70">
        <f>I22-I24</f>
        <v>1735</v>
      </c>
      <c r="J25" s="70">
        <f t="shared" ref="J25:P25" si="4">J22-J24</f>
        <v>2119</v>
      </c>
      <c r="K25" s="531">
        <f>K22-K24</f>
        <v>2173</v>
      </c>
      <c r="L25" s="70">
        <f>L22-L24</f>
        <v>1608.6240000000012</v>
      </c>
      <c r="M25" s="70">
        <f>M22-M24</f>
        <v>1705.7232000000004</v>
      </c>
      <c r="N25" s="70">
        <f t="shared" si="4"/>
        <v>1778.9048640000001</v>
      </c>
      <c r="O25" s="70">
        <f t="shared" si="4"/>
        <v>1820.502161280001</v>
      </c>
      <c r="P25" s="70">
        <f t="shared" si="4"/>
        <v>1862.9314045056005</v>
      </c>
      <c r="Q25" s="418"/>
      <c r="R25" s="419">
        <f>RATE($P$5-K$5,0,-K25,P25)</f>
        <v>-3.0322256664646569E-2</v>
      </c>
      <c r="T25" s="66"/>
      <c r="Y25" s="510"/>
      <c r="Z25" s="475" t="s">
        <v>300</v>
      </c>
      <c r="AA25" s="584"/>
      <c r="AB25" s="110"/>
      <c r="AC25" s="626" t="s">
        <v>294</v>
      </c>
      <c r="AD25" s="586"/>
      <c r="AE25" s="584"/>
      <c r="AF25" s="589">
        <v>-3</v>
      </c>
      <c r="AG25" s="478" t="s">
        <v>254</v>
      </c>
    </row>
    <row r="26" spans="1:34" s="33" customFormat="1">
      <c r="A26" s="89"/>
      <c r="G26"/>
      <c r="H26" s="622"/>
      <c r="I26" s="105"/>
      <c r="J26" s="74"/>
      <c r="K26" s="24"/>
      <c r="L26" s="13"/>
      <c r="M26" s="13"/>
      <c r="N26" s="13"/>
      <c r="O26" s="13"/>
      <c r="P26" s="13"/>
      <c r="Q26" s="61"/>
      <c r="R26" s="61"/>
      <c r="T26" s="66"/>
      <c r="Y26" s="510"/>
      <c r="Z26" s="636" t="s">
        <v>301</v>
      </c>
      <c r="AA26" s="584"/>
      <c r="AB26" s="110"/>
      <c r="AC26" s="634" t="s">
        <v>273</v>
      </c>
      <c r="AD26" s="585"/>
      <c r="AE26" s="584"/>
      <c r="AF26" s="626">
        <f>-(AF25-AF27)</f>
        <v>1.83</v>
      </c>
      <c r="AG26" s="478" t="s">
        <v>255</v>
      </c>
    </row>
    <row r="27" spans="1:34" s="33" customFormat="1">
      <c r="A27" s="89"/>
      <c r="B27" s="82" t="s">
        <v>246</v>
      </c>
      <c r="H27" s="622"/>
      <c r="I27" s="209">
        <f>'Balance Sheet'!J38</f>
        <v>366.8</v>
      </c>
      <c r="J27" s="209">
        <f>'Balance Sheet'!K38</f>
        <v>353</v>
      </c>
      <c r="K27" s="532">
        <f>'Balance Sheet'!L38</f>
        <v>321.60000000000002</v>
      </c>
      <c r="L27" s="344">
        <f>shares!L14</f>
        <v>293.08333333333331</v>
      </c>
      <c r="M27" s="344">
        <f>shares!M14</f>
        <v>258.25</v>
      </c>
      <c r="N27" s="344">
        <f>shares!N14</f>
        <v>250.75</v>
      </c>
      <c r="O27" s="344">
        <f>shares!O14</f>
        <v>250.75</v>
      </c>
      <c r="P27" s="344">
        <f>shares!P14</f>
        <v>250.75</v>
      </c>
      <c r="Q27" s="61"/>
      <c r="R27" s="211">
        <f>RATE($P$5-K$5,0,-K27,P27)</f>
        <v>-4.8552169168383549E-2</v>
      </c>
      <c r="S27" s="62"/>
      <c r="T27" s="451"/>
      <c r="Y27" s="510"/>
      <c r="Z27" s="473">
        <v>11</v>
      </c>
      <c r="AA27" s="584" t="s">
        <v>253</v>
      </c>
      <c r="AB27" s="110"/>
      <c r="AC27" s="589">
        <v>13</v>
      </c>
      <c r="AD27" s="584" t="s">
        <v>253</v>
      </c>
      <c r="AE27" s="584"/>
      <c r="AF27" s="591">
        <f>AF28*AF25</f>
        <v>-1.17</v>
      </c>
      <c r="AG27" s="478" t="s">
        <v>253</v>
      </c>
    </row>
    <row r="28" spans="1:34" s="33" customFormat="1">
      <c r="A28" s="89"/>
      <c r="G28" s="566"/>
      <c r="H28" s="612"/>
      <c r="I28" s="71"/>
      <c r="J28" s="71"/>
      <c r="K28" s="24"/>
      <c r="L28" s="641"/>
      <c r="M28"/>
      <c r="N28"/>
      <c r="O28"/>
      <c r="P28"/>
      <c r="Q28" s="61"/>
      <c r="R28" s="61"/>
      <c r="S28" s="61"/>
      <c r="T28" s="66"/>
      <c r="Z28" s="628"/>
      <c r="AA28" s="584"/>
      <c r="AB28" s="584"/>
      <c r="AC28" s="584"/>
      <c r="AD28" s="584"/>
      <c r="AE28" s="584"/>
      <c r="AF28" s="611">
        <v>0.39</v>
      </c>
      <c r="AG28" s="478" t="s">
        <v>256</v>
      </c>
    </row>
    <row r="29" spans="1:34" s="33" customFormat="1">
      <c r="A29" s="89" t="s">
        <v>118</v>
      </c>
      <c r="B29" s="35"/>
      <c r="C29" s="35" t="s">
        <v>247</v>
      </c>
      <c r="F29" s="71"/>
      <c r="G29" s="566"/>
      <c r="H29" s="625"/>
      <c r="I29" s="71">
        <f t="shared" ref="I29:P29" si="5">I25/I27</f>
        <v>4.7300981461286806</v>
      </c>
      <c r="J29" s="71">
        <f t="shared" si="5"/>
        <v>6.0028328611898019</v>
      </c>
      <c r="K29" s="533">
        <f t="shared" si="5"/>
        <v>6.7568407960199002</v>
      </c>
      <c r="L29" s="71">
        <f t="shared" si="5"/>
        <v>5.4886232584589179</v>
      </c>
      <c r="M29" s="71">
        <f t="shared" si="5"/>
        <v>6.6049301064859645</v>
      </c>
      <c r="N29" s="71">
        <f t="shared" si="5"/>
        <v>7.0943364466600203</v>
      </c>
      <c r="O29" s="71">
        <f t="shared" si="5"/>
        <v>7.2602279612362954</v>
      </c>
      <c r="P29" s="71">
        <f t="shared" si="5"/>
        <v>7.4294373061040897</v>
      </c>
      <c r="Q29" s="418"/>
      <c r="R29" s="419">
        <f>RATE($P$5-K$5,0,-K29,P29)</f>
        <v>1.9160180845889364E-2</v>
      </c>
      <c r="S29" s="76"/>
      <c r="T29" s="451"/>
      <c r="Z29" s="628"/>
      <c r="AA29" s="584"/>
      <c r="AB29" s="584"/>
      <c r="AC29" s="584"/>
      <c r="AD29" s="584"/>
      <c r="AE29" s="584"/>
      <c r="AF29" s="591"/>
      <c r="AG29" s="478"/>
    </row>
    <row r="30" spans="1:34" s="33" customFormat="1">
      <c r="A30" s="89"/>
      <c r="B30" s="35"/>
      <c r="C30" s="35" t="s">
        <v>1063</v>
      </c>
      <c r="G30"/>
      <c r="H30" s="612"/>
      <c r="I30" s="1141">
        <f>I31-I29</f>
        <v>0.84990185387131945</v>
      </c>
      <c r="J30" s="1141">
        <f t="shared" ref="J30:L30" si="6">J31-J29</f>
        <v>0.13716713881019782</v>
      </c>
      <c r="K30" s="533">
        <f t="shared" si="6"/>
        <v>-0.85684079601989982</v>
      </c>
      <c r="L30" s="1141">
        <f t="shared" si="6"/>
        <v>1.1376741541082147E-2</v>
      </c>
      <c r="M30" s="1141">
        <f>M31-M29</f>
        <v>2.5069893514035435E-2</v>
      </c>
      <c r="N30" s="1141">
        <f>N31-N29</f>
        <v>-0.10433644666002007</v>
      </c>
      <c r="O30" s="1141">
        <f>O31-O29</f>
        <v>-0.13022796123629554</v>
      </c>
      <c r="P30" s="1141">
        <f>P31-P29</f>
        <v>-0.15943730610409013</v>
      </c>
      <c r="Q30" s="418"/>
      <c r="R30" s="419"/>
      <c r="T30" s="66"/>
      <c r="Y30" s="510"/>
      <c r="Z30" s="475"/>
      <c r="AA30" s="584"/>
      <c r="AB30" s="110"/>
      <c r="AC30" s="626"/>
      <c r="AD30" s="586"/>
      <c r="AE30" s="584"/>
      <c r="AF30" s="589"/>
      <c r="AG30" s="478"/>
    </row>
    <row r="31" spans="1:34" s="33" customFormat="1">
      <c r="A31" s="89"/>
      <c r="B31" s="35"/>
      <c r="C31" s="35" t="s">
        <v>1061</v>
      </c>
      <c r="F31" s="71"/>
      <c r="G31" s="566"/>
      <c r="H31" s="625"/>
      <c r="I31" s="71">
        <v>5.58</v>
      </c>
      <c r="J31" s="71">
        <v>6.14</v>
      </c>
      <c r="K31" s="533">
        <v>5.9</v>
      </c>
      <c r="L31" s="71">
        <v>5.5</v>
      </c>
      <c r="M31" s="71">
        <v>6.63</v>
      </c>
      <c r="N31" s="71">
        <v>6.99</v>
      </c>
      <c r="O31" s="71">
        <v>7.13</v>
      </c>
      <c r="P31" s="71">
        <v>7.27</v>
      </c>
      <c r="Q31" s="418"/>
      <c r="R31" s="419"/>
      <c r="S31" s="76"/>
      <c r="T31" s="451"/>
      <c r="Z31" s="628"/>
      <c r="AA31" s="584"/>
      <c r="AB31" s="584"/>
      <c r="AC31" s="584"/>
      <c r="AD31" s="584"/>
      <c r="AE31" s="584"/>
      <c r="AF31" s="591"/>
      <c r="AG31" s="478"/>
    </row>
    <row r="32" spans="1:34" s="33" customFormat="1">
      <c r="A32" s="89"/>
      <c r="G32" s="566"/>
      <c r="I32" s="208"/>
      <c r="J32" s="208"/>
      <c r="K32" s="510"/>
      <c r="L32" s="369" t="s">
        <v>1062</v>
      </c>
      <c r="N32" s="419"/>
      <c r="O32" s="71"/>
      <c r="P32" s="71"/>
      <c r="Q32" s="61"/>
      <c r="R32" s="369" t="s">
        <v>306</v>
      </c>
      <c r="T32" s="66"/>
      <c r="Z32" s="628"/>
      <c r="AA32" s="584"/>
      <c r="AB32" s="584"/>
      <c r="AC32" s="584"/>
      <c r="AD32" s="584"/>
      <c r="AE32" s="584"/>
      <c r="AF32" s="588" t="s">
        <v>283</v>
      </c>
      <c r="AG32" s="476"/>
    </row>
    <row r="33" spans="1:35" s="33" customFormat="1">
      <c r="A33" s="89"/>
      <c r="B33" s="60" t="s">
        <v>9</v>
      </c>
      <c r="G33" s="105"/>
      <c r="I33"/>
      <c r="J33"/>
      <c r="K33" s="24"/>
      <c r="L33" s="640"/>
      <c r="M33" s="419"/>
      <c r="N33" s="227"/>
      <c r="O33"/>
      <c r="P33"/>
      <c r="Q33"/>
      <c r="R33" s="61"/>
      <c r="S33" s="72" t="s">
        <v>208</v>
      </c>
      <c r="T33" s="66"/>
      <c r="Z33" s="628"/>
      <c r="AA33" s="584"/>
      <c r="AB33" s="584"/>
      <c r="AC33" s="584"/>
      <c r="AD33" s="584"/>
      <c r="AE33" s="584"/>
      <c r="AF33" s="634" t="s">
        <v>279</v>
      </c>
      <c r="AG33" s="563"/>
    </row>
    <row r="34" spans="1:35" s="33" customFormat="1">
      <c r="A34" s="89" t="s">
        <v>118</v>
      </c>
      <c r="C34" s="391" t="s">
        <v>1051</v>
      </c>
      <c r="I34" s="210"/>
      <c r="J34" s="211">
        <f>J7/I7-1</f>
        <v>-4.201893811295232E-2</v>
      </c>
      <c r="K34" s="534">
        <f>K7/J7-1</f>
        <v>-1.0237401818021352E-2</v>
      </c>
      <c r="L34" s="1143">
        <v>0</v>
      </c>
      <c r="M34" s="1144">
        <v>0.05</v>
      </c>
      <c r="N34" s="1144">
        <v>0.02</v>
      </c>
      <c r="O34" s="1144">
        <f>N34+$S34</f>
        <v>0.02</v>
      </c>
      <c r="P34" s="1144">
        <f t="shared" ref="M34:P35" si="7">O34+$S34</f>
        <v>0.02</v>
      </c>
      <c r="Q34"/>
      <c r="R34" s="61"/>
      <c r="S34" s="73">
        <v>0</v>
      </c>
      <c r="T34" s="66"/>
      <c r="U34" s="73"/>
      <c r="Z34" s="628"/>
      <c r="AA34" s="584"/>
      <c r="AB34" s="584"/>
      <c r="AC34" s="584"/>
      <c r="AD34" s="584"/>
      <c r="AE34" s="584"/>
      <c r="AF34" s="589">
        <v>-10</v>
      </c>
      <c r="AG34" s="478" t="s">
        <v>254</v>
      </c>
    </row>
    <row r="35" spans="1:35" s="33" customFormat="1">
      <c r="A35" s="89"/>
      <c r="C35" s="391" t="s">
        <v>968</v>
      </c>
      <c r="H35" s="74"/>
      <c r="I35" s="211">
        <f>I9/I7</f>
        <v>0.58319242475481903</v>
      </c>
      <c r="J35" s="211">
        <f t="shared" ref="J35:K35" si="8">J9/J7</f>
        <v>0.55317271202894713</v>
      </c>
      <c r="K35" s="534">
        <f t="shared" si="8"/>
        <v>0.57949175211769954</v>
      </c>
      <c r="L35" s="73">
        <v>0.59</v>
      </c>
      <c r="M35" s="211">
        <f t="shared" si="7"/>
        <v>0.59</v>
      </c>
      <c r="N35" s="138">
        <f t="shared" si="7"/>
        <v>0.59</v>
      </c>
      <c r="O35" s="138">
        <f t="shared" si="7"/>
        <v>0.59</v>
      </c>
      <c r="P35" s="138">
        <f t="shared" si="7"/>
        <v>0.59</v>
      </c>
      <c r="Q35"/>
      <c r="R35" s="61"/>
      <c r="S35" s="73">
        <v>0</v>
      </c>
      <c r="T35" s="66"/>
      <c r="U35" s="73"/>
      <c r="Z35" s="627"/>
      <c r="AA35" s="110"/>
      <c r="AB35" s="110"/>
      <c r="AC35" s="110"/>
      <c r="AD35" s="110"/>
      <c r="AE35" s="110"/>
      <c r="AF35" s="626">
        <f>-(AF34-AF38)</f>
        <v>6.1</v>
      </c>
      <c r="AG35" s="478" t="s">
        <v>255</v>
      </c>
    </row>
    <row r="36" spans="1:35" s="33" customFormat="1">
      <c r="A36" s="89"/>
      <c r="C36" s="391" t="s">
        <v>967</v>
      </c>
      <c r="H36" s="74"/>
      <c r="I36" s="211">
        <f>I10/I7</f>
        <v>0.2640344944200203</v>
      </c>
      <c r="J36" s="211">
        <f t="shared" ref="J36:K36" si="9">J10/J7</f>
        <v>0.26661371458829758</v>
      </c>
      <c r="K36" s="534">
        <f t="shared" si="9"/>
        <v>0.31172536781096744</v>
      </c>
      <c r="L36" s="73">
        <v>0.3</v>
      </c>
      <c r="M36" s="211">
        <f>L36</f>
        <v>0.3</v>
      </c>
      <c r="N36" s="211">
        <f t="shared" ref="N36:P36" si="10">M36</f>
        <v>0.3</v>
      </c>
      <c r="O36" s="211">
        <f t="shared" si="10"/>
        <v>0.3</v>
      </c>
      <c r="P36" s="211">
        <f t="shared" si="10"/>
        <v>0.3</v>
      </c>
      <c r="Q36"/>
      <c r="R36" s="61"/>
      <c r="S36" s="73"/>
      <c r="T36" s="66"/>
      <c r="U36" s="73"/>
      <c r="Z36" s="627"/>
      <c r="AA36" s="110"/>
      <c r="AB36" s="110"/>
      <c r="AC36" s="110"/>
      <c r="AD36" s="110"/>
      <c r="AE36" s="110"/>
      <c r="AF36" s="626"/>
      <c r="AG36" s="478"/>
    </row>
    <row r="37" spans="1:35" s="33" customFormat="1">
      <c r="A37" s="89"/>
      <c r="C37" s="391" t="s">
        <v>966</v>
      </c>
      <c r="H37" s="74"/>
      <c r="I37" s="211">
        <f>SUM(I35:I36)</f>
        <v>0.84722691917483939</v>
      </c>
      <c r="J37" s="211">
        <f t="shared" ref="J37:P37" si="11">SUM(J35:J36)</f>
        <v>0.81978642661724477</v>
      </c>
      <c r="K37" s="534">
        <f t="shared" si="11"/>
        <v>0.89121711992866692</v>
      </c>
      <c r="L37" s="211">
        <f t="shared" si="11"/>
        <v>0.8899999999999999</v>
      </c>
      <c r="M37" s="211">
        <f t="shared" si="11"/>
        <v>0.8899999999999999</v>
      </c>
      <c r="N37" s="211">
        <f t="shared" si="11"/>
        <v>0.8899999999999999</v>
      </c>
      <c r="O37" s="211">
        <f t="shared" si="11"/>
        <v>0.8899999999999999</v>
      </c>
      <c r="P37" s="211">
        <f t="shared" si="11"/>
        <v>0.8899999999999999</v>
      </c>
      <c r="Q37"/>
      <c r="R37" s="61"/>
      <c r="S37" s="73"/>
      <c r="T37" s="66"/>
      <c r="U37" s="73"/>
      <c r="Z37" s="627"/>
      <c r="AA37" s="110"/>
      <c r="AB37" s="110"/>
      <c r="AC37" s="110"/>
      <c r="AD37" s="110"/>
      <c r="AE37" s="110"/>
      <c r="AF37" s="626"/>
      <c r="AG37" s="478"/>
    </row>
    <row r="38" spans="1:35" s="33" customFormat="1">
      <c r="A38" s="89"/>
      <c r="C38" s="33" t="s">
        <v>228</v>
      </c>
      <c r="H38" s="74"/>
      <c r="I38" s="211">
        <f>I13/I7</f>
        <v>2.3926276631721338E-2</v>
      </c>
      <c r="J38" s="211">
        <f>J13/J7</f>
        <v>2.5152237225311094E-2</v>
      </c>
      <c r="K38" s="534">
        <f>K13/K7</f>
        <v>2.4877396344181898E-2</v>
      </c>
      <c r="L38" s="73">
        <v>0.03</v>
      </c>
      <c r="M38" s="138">
        <v>0.03</v>
      </c>
      <c r="N38" s="138">
        <v>0.03</v>
      </c>
      <c r="O38" s="138">
        <v>0.03</v>
      </c>
      <c r="P38" s="138">
        <v>0.03</v>
      </c>
      <c r="Q38"/>
      <c r="R38" s="61"/>
      <c r="S38" s="73">
        <v>0</v>
      </c>
      <c r="T38" s="66"/>
      <c r="Z38" s="627"/>
      <c r="AA38" s="110"/>
      <c r="AB38" s="110"/>
      <c r="AC38" s="110"/>
      <c r="AD38" s="110"/>
      <c r="AE38" s="110"/>
      <c r="AF38" s="591">
        <f>AF39*AF34</f>
        <v>-3.9000000000000004</v>
      </c>
      <c r="AG38" s="478" t="s">
        <v>253</v>
      </c>
    </row>
    <row r="39" spans="1:35" s="33" customFormat="1">
      <c r="A39" s="89"/>
      <c r="C39" s="82" t="s">
        <v>293</v>
      </c>
      <c r="I39" s="5">
        <f>I14</f>
        <v>609</v>
      </c>
      <c r="J39" s="5">
        <f>J14</f>
        <v>196</v>
      </c>
      <c r="K39" s="504">
        <f>K14</f>
        <v>-478</v>
      </c>
      <c r="L39" s="157">
        <v>0</v>
      </c>
      <c r="M39" s="153">
        <f>L39+$S39</f>
        <v>0</v>
      </c>
      <c r="N39" s="153">
        <f t="shared" ref="N39:P40" si="12">M39+$S39</f>
        <v>0</v>
      </c>
      <c r="O39" s="153">
        <f t="shared" si="12"/>
        <v>0</v>
      </c>
      <c r="P39" s="153">
        <f t="shared" si="12"/>
        <v>0</v>
      </c>
      <c r="Q39"/>
      <c r="R39" s="61"/>
      <c r="S39" s="157">
        <v>0</v>
      </c>
      <c r="T39" s="66"/>
      <c r="Z39" s="627"/>
      <c r="AA39" s="110"/>
      <c r="AB39" s="110"/>
      <c r="AC39" s="110"/>
      <c r="AD39" s="110"/>
      <c r="AE39" s="110"/>
      <c r="AF39" s="611">
        <v>0.39</v>
      </c>
      <c r="AG39" s="478" t="s">
        <v>256</v>
      </c>
    </row>
    <row r="40" spans="1:35" s="33" customFormat="1">
      <c r="A40" s="89"/>
      <c r="C40" s="82" t="s">
        <v>248</v>
      </c>
      <c r="I40" s="211">
        <f>I24/I22</f>
        <v>0.25791274593669805</v>
      </c>
      <c r="J40" s="211">
        <f>J24/J22</f>
        <v>0.26880607315389926</v>
      </c>
      <c r="K40" s="535">
        <f>K24/K22</f>
        <v>0.25454545454545452</v>
      </c>
      <c r="L40" s="73">
        <v>0.28000000000000003</v>
      </c>
      <c r="M40" s="138">
        <f>L40+$S40</f>
        <v>0.28000000000000003</v>
      </c>
      <c r="N40" s="138">
        <f t="shared" si="12"/>
        <v>0.28000000000000003</v>
      </c>
      <c r="O40" s="138">
        <f t="shared" si="12"/>
        <v>0.28000000000000003</v>
      </c>
      <c r="P40" s="138">
        <f t="shared" si="12"/>
        <v>0.28000000000000003</v>
      </c>
      <c r="Q40"/>
      <c r="R40" s="61"/>
      <c r="S40" s="73">
        <v>0</v>
      </c>
      <c r="T40" s="66"/>
      <c r="Z40" s="627"/>
      <c r="AA40" s="110"/>
      <c r="AB40" s="110"/>
      <c r="AC40" s="110"/>
      <c r="AD40" s="110"/>
      <c r="AE40" s="110"/>
      <c r="AF40" s="110"/>
      <c r="AG40" s="511"/>
    </row>
    <row r="41" spans="1:35" s="34" customFormat="1">
      <c r="A41" s="89"/>
      <c r="B41" s="112">
        <v>1</v>
      </c>
      <c r="C41" s="460" t="s">
        <v>1064</v>
      </c>
      <c r="D41" s="461"/>
      <c r="E41" s="461"/>
      <c r="F41" s="461"/>
      <c r="G41" s="461"/>
      <c r="H41" s="461"/>
      <c r="I41" s="462"/>
      <c r="J41" s="462"/>
      <c r="K41" s="462"/>
      <c r="L41" s="463"/>
      <c r="M41" s="462"/>
      <c r="N41" s="462"/>
      <c r="O41" s="462"/>
      <c r="P41" s="462"/>
      <c r="Q41" s="96"/>
      <c r="R41" s="96"/>
      <c r="S41" s="464"/>
      <c r="T41" s="465"/>
      <c r="U41" s="464"/>
      <c r="V41" s="464"/>
      <c r="Z41" s="627"/>
      <c r="AA41" s="110"/>
      <c r="AB41" s="110"/>
      <c r="AC41" s="110"/>
      <c r="AD41" s="110"/>
      <c r="AE41" s="110"/>
      <c r="AF41" s="588" t="s">
        <v>300</v>
      </c>
      <c r="AG41" s="478"/>
      <c r="AI41"/>
    </row>
    <row r="42" spans="1:35" s="34" customFormat="1">
      <c r="A42" s="481"/>
      <c r="B42" s="113">
        <f>B41+1</f>
        <v>2</v>
      </c>
      <c r="C42" s="466" t="s">
        <v>286</v>
      </c>
      <c r="D42" s="464"/>
      <c r="E42" s="464"/>
      <c r="F42" s="464"/>
      <c r="G42" s="464"/>
      <c r="H42" s="464"/>
      <c r="I42" s="467"/>
      <c r="J42" s="467"/>
      <c r="K42" s="467"/>
      <c r="L42" s="468"/>
      <c r="M42" s="467"/>
      <c r="N42" s="467"/>
      <c r="O42" s="467"/>
      <c r="P42" s="467"/>
      <c r="Q42" s="95"/>
      <c r="R42" s="95"/>
      <c r="S42" s="464"/>
      <c r="T42" s="465"/>
      <c r="U42" s="464"/>
      <c r="V42" s="464"/>
      <c r="Z42" s="627"/>
      <c r="AA42" s="110"/>
      <c r="AB42" s="110"/>
      <c r="AC42" s="110"/>
      <c r="AD42" s="110"/>
      <c r="AE42" s="110"/>
      <c r="AF42" s="634" t="s">
        <v>301</v>
      </c>
      <c r="AG42" s="478"/>
    </row>
    <row r="43" spans="1:35" s="34" customFormat="1">
      <c r="A43" s="481"/>
      <c r="B43" s="113">
        <f>B42+1</f>
        <v>3</v>
      </c>
      <c r="C43" s="466" t="s">
        <v>287</v>
      </c>
      <c r="I43" s="87"/>
      <c r="J43" s="87"/>
      <c r="K43" s="87"/>
      <c r="L43" s="85"/>
      <c r="M43" s="87"/>
      <c r="N43" s="87"/>
      <c r="O43" s="467"/>
      <c r="P43" s="467"/>
      <c r="Q43" s="95"/>
      <c r="R43" s="95"/>
      <c r="S43" s="464"/>
      <c r="T43" s="465"/>
      <c r="U43" s="464"/>
      <c r="V43" s="464"/>
      <c r="Z43" s="627"/>
      <c r="AA43" s="110"/>
      <c r="AB43" s="110"/>
      <c r="AC43" s="110"/>
      <c r="AD43" s="110"/>
      <c r="AE43" s="110"/>
      <c r="AF43" s="589">
        <v>40</v>
      </c>
      <c r="AG43" s="478" t="s">
        <v>253</v>
      </c>
    </row>
    <row r="44" spans="1:35" s="33" customFormat="1">
      <c r="A44" s="89"/>
      <c r="C44" s="466" t="s">
        <v>299</v>
      </c>
      <c r="D44" s="464"/>
      <c r="E44" s="464"/>
      <c r="F44" s="464"/>
      <c r="G44" s="464"/>
      <c r="H44" s="464"/>
      <c r="I44" s="467"/>
      <c r="J44" s="467"/>
      <c r="K44" s="467"/>
      <c r="L44" s="468"/>
      <c r="M44" s="467"/>
      <c r="N44" s="467"/>
      <c r="O44" s="87"/>
      <c r="P44" s="87"/>
      <c r="Q44" s="95"/>
      <c r="R44" s="95"/>
      <c r="T44" s="66"/>
      <c r="Z44" s="627"/>
      <c r="AA44" s="110"/>
      <c r="AB44" s="110"/>
      <c r="AC44" s="110"/>
      <c r="AD44" s="110"/>
      <c r="AE44" s="110"/>
      <c r="AF44" s="110"/>
      <c r="AG44" s="511"/>
    </row>
    <row r="45" spans="1:35" s="33" customFormat="1">
      <c r="A45" s="89"/>
      <c r="B45" s="113">
        <f>B43+1</f>
        <v>4</v>
      </c>
      <c r="C45" s="466" t="s">
        <v>1053</v>
      </c>
      <c r="D45" s="34"/>
      <c r="E45" s="34"/>
      <c r="F45" s="34"/>
      <c r="G45" s="34"/>
      <c r="H45" s="34"/>
      <c r="I45" s="87"/>
      <c r="J45" s="87"/>
      <c r="K45" s="87"/>
      <c r="L45" s="85"/>
      <c r="M45" s="87"/>
      <c r="N45" s="87"/>
      <c r="O45" s="87"/>
      <c r="P45" s="87"/>
      <c r="Q45" s="95"/>
      <c r="R45" s="95"/>
      <c r="T45" s="66"/>
      <c r="Z45" s="627"/>
      <c r="AA45" s="110"/>
      <c r="AB45" s="110"/>
      <c r="AC45" s="110"/>
      <c r="AD45" s="110"/>
      <c r="AE45" s="110"/>
      <c r="AF45" s="593" t="s">
        <v>295</v>
      </c>
      <c r="AG45" s="565"/>
    </row>
    <row r="46" spans="1:35" s="33" customFormat="1">
      <c r="B46" s="113">
        <f>B45+1</f>
        <v>5</v>
      </c>
      <c r="C46" s="553" t="s">
        <v>290</v>
      </c>
      <c r="D46" s="34"/>
      <c r="E46" s="34"/>
      <c r="F46" s="34"/>
      <c r="G46" s="34"/>
      <c r="H46" s="34"/>
      <c r="I46" s="87"/>
      <c r="J46" s="87"/>
      <c r="K46" s="87"/>
      <c r="L46" s="85"/>
      <c r="M46" s="87"/>
      <c r="N46" s="87"/>
      <c r="O46" s="62"/>
      <c r="P46" s="62"/>
      <c r="Q46" s="61"/>
      <c r="R46" s="61"/>
      <c r="T46" s="66"/>
      <c r="Z46" s="627"/>
      <c r="AA46" s="110"/>
      <c r="AB46" s="110"/>
      <c r="AC46" s="110"/>
      <c r="AD46" s="110"/>
      <c r="AE46" s="110"/>
      <c r="AF46" s="634" t="s">
        <v>281</v>
      </c>
      <c r="AG46" s="563"/>
    </row>
    <row r="47" spans="1:35" s="33" customFormat="1">
      <c r="B47" s="113">
        <f>B46+1</f>
        <v>6</v>
      </c>
      <c r="C47" s="553" t="s">
        <v>302</v>
      </c>
      <c r="I47" s="62"/>
      <c r="J47" s="62"/>
      <c r="K47" s="87"/>
      <c r="L47" s="73"/>
      <c r="M47" s="62"/>
      <c r="N47" s="62"/>
      <c r="O47" s="62"/>
      <c r="P47" s="62"/>
      <c r="Q47" s="61"/>
      <c r="R47" s="61"/>
      <c r="T47" s="66"/>
      <c r="Z47" s="627"/>
      <c r="AA47" s="110"/>
      <c r="AB47" s="110"/>
      <c r="AC47" s="110"/>
      <c r="AD47" s="110"/>
      <c r="AE47" s="110"/>
      <c r="AF47" s="589">
        <v>22</v>
      </c>
      <c r="AG47" s="478" t="s">
        <v>253</v>
      </c>
    </row>
    <row r="48" spans="1:35" s="33" customFormat="1">
      <c r="B48"/>
      <c r="C48" s="553" t="s">
        <v>303</v>
      </c>
      <c r="I48" s="62"/>
      <c r="J48" s="62"/>
      <c r="K48" s="87"/>
      <c r="L48" s="73"/>
      <c r="M48" s="62"/>
      <c r="N48" s="62"/>
      <c r="O48" s="62"/>
      <c r="P48" s="62"/>
      <c r="Q48" s="61"/>
      <c r="R48" s="61"/>
      <c r="T48" s="66"/>
      <c r="Z48" s="627"/>
      <c r="AA48" s="110"/>
      <c r="AB48" s="110"/>
      <c r="AC48" s="110"/>
      <c r="AD48" s="110"/>
      <c r="AE48" s="110"/>
      <c r="AF48" s="589">
        <v>-4</v>
      </c>
      <c r="AG48" s="630" t="s">
        <v>284</v>
      </c>
    </row>
    <row r="49" spans="1:33" s="33" customFormat="1">
      <c r="A49" s="89" t="s">
        <v>118</v>
      </c>
      <c r="B49" s="88" t="s">
        <v>131</v>
      </c>
      <c r="C49"/>
      <c r="F49" s="34"/>
      <c r="G49" s="34"/>
      <c r="H49" s="34"/>
      <c r="I49" s="87"/>
      <c r="J49" s="87"/>
      <c r="K49" s="87"/>
      <c r="L49" s="85"/>
      <c r="M49" s="87"/>
      <c r="N49" s="87"/>
      <c r="O49" s="87"/>
      <c r="P49" s="62"/>
      <c r="Q49" s="61"/>
      <c r="R49" s="61"/>
      <c r="T49" s="66"/>
      <c r="Z49" s="627"/>
      <c r="AA49" s="110"/>
      <c r="AB49" s="110"/>
      <c r="AC49" s="110"/>
      <c r="AD49" s="110"/>
      <c r="AE49" s="110"/>
      <c r="AF49" s="590">
        <v>3</v>
      </c>
      <c r="AG49" s="478" t="s">
        <v>255</v>
      </c>
    </row>
    <row r="50" spans="1:33" s="33" customFormat="1">
      <c r="A50" s="89"/>
      <c r="F50" s="34"/>
      <c r="G50" s="34"/>
      <c r="H50" s="34"/>
      <c r="I50" s="34"/>
      <c r="J50" s="34"/>
      <c r="K50" s="34"/>
      <c r="L50" s="34"/>
      <c r="M50" s="34"/>
      <c r="N50" s="34"/>
      <c r="O50" s="34"/>
      <c r="T50" s="66"/>
      <c r="Z50" s="627"/>
      <c r="AA50" s="110"/>
      <c r="AB50" s="110"/>
      <c r="AC50" s="110"/>
      <c r="AD50" s="110"/>
      <c r="AE50" s="110"/>
      <c r="AF50" s="591">
        <f>SUM(AF48:AF49)</f>
        <v>-1</v>
      </c>
      <c r="AG50" s="478" t="s">
        <v>289</v>
      </c>
    </row>
    <row r="51" spans="1:33">
      <c r="A51" s="89"/>
      <c r="F51" s="13"/>
      <c r="G51" s="13"/>
      <c r="H51" s="13"/>
      <c r="I51" s="13"/>
      <c r="J51" s="13"/>
      <c r="K51" s="13"/>
      <c r="L51" s="13"/>
      <c r="M51" s="13"/>
      <c r="N51" s="13"/>
      <c r="O51" s="13"/>
      <c r="T51" s="50"/>
      <c r="W51" s="33"/>
      <c r="X51" s="33"/>
      <c r="Y51" s="33"/>
      <c r="Z51" s="627"/>
      <c r="AA51" s="110"/>
      <c r="AB51" s="110"/>
      <c r="AC51" s="110"/>
      <c r="AD51" s="110"/>
      <c r="AE51" s="110"/>
      <c r="AF51" s="592">
        <f>AF50/AF48</f>
        <v>0.25</v>
      </c>
      <c r="AG51" s="478" t="s">
        <v>256</v>
      </c>
    </row>
    <row r="52" spans="1:33">
      <c r="A52" s="89"/>
      <c r="T52" s="50"/>
      <c r="W52" s="33"/>
      <c r="X52" s="33"/>
      <c r="Y52" s="33"/>
      <c r="Z52" s="620"/>
      <c r="AA52" s="598"/>
      <c r="AB52" s="598"/>
      <c r="AC52" s="598"/>
      <c r="AD52" s="598"/>
      <c r="AE52" s="598"/>
      <c r="AF52" s="598"/>
      <c r="AG52" s="635"/>
    </row>
    <row r="53" spans="1:33">
      <c r="A53" s="89"/>
      <c r="T53" s="50"/>
      <c r="W53" s="33"/>
      <c r="X53" s="33"/>
      <c r="Y53" s="33"/>
      <c r="Z53" s="33"/>
      <c r="AA53" s="33"/>
    </row>
    <row r="54" spans="1:33">
      <c r="A54" s="89"/>
      <c r="T54" s="50"/>
      <c r="W54" s="33"/>
      <c r="X54" s="33"/>
      <c r="Y54" s="33"/>
      <c r="Z54" s="33"/>
      <c r="AA54" s="33"/>
    </row>
    <row r="55" spans="1:33">
      <c r="A55" s="89"/>
      <c r="T55" s="50"/>
      <c r="W55" s="33"/>
      <c r="X55" s="33"/>
      <c r="Y55" s="33"/>
      <c r="Z55" s="33"/>
      <c r="AA55" s="33"/>
    </row>
    <row r="56" spans="1:33">
      <c r="A56" s="89"/>
      <c r="E56" s="421" t="s">
        <v>186</v>
      </c>
      <c r="T56" s="50"/>
      <c r="W56" s="33"/>
      <c r="X56" s="33"/>
      <c r="Y56" s="33"/>
      <c r="Z56" s="33"/>
      <c r="AA56" s="33"/>
    </row>
    <row r="57" spans="1:33" s="33" customFormat="1" ht="15.5">
      <c r="A57" s="89" t="s">
        <v>118</v>
      </c>
      <c r="E57" s="120" t="str">
        <f>L5&amp;" Operating EPS Sensitivity Tables"</f>
        <v>2011 Operating EPS Sensitivity Tables</v>
      </c>
      <c r="H57"/>
      <c r="I57"/>
      <c r="J57"/>
      <c r="K57"/>
      <c r="L57"/>
      <c r="M57"/>
      <c r="N57"/>
      <c r="O57"/>
      <c r="P57"/>
      <c r="Q57"/>
      <c r="T57" s="66"/>
    </row>
    <row r="58" spans="1:33" s="33" customFormat="1">
      <c r="A58" s="89"/>
      <c r="F58" s="121"/>
      <c r="H58"/>
      <c r="I58"/>
      <c r="J58"/>
      <c r="K58"/>
      <c r="L58"/>
      <c r="M58"/>
      <c r="N58"/>
      <c r="O58"/>
      <c r="P58"/>
      <c r="Q58"/>
      <c r="T58" s="66"/>
    </row>
    <row r="59" spans="1:33" s="33" customFormat="1">
      <c r="A59" s="89"/>
      <c r="E59" s="126" t="s">
        <v>968</v>
      </c>
      <c r="F59" s="486">
        <f>L29</f>
        <v>5.4886232584589179</v>
      </c>
      <c r="H59" s="126" t="s">
        <v>967</v>
      </c>
      <c r="I59" s="486">
        <f>L29</f>
        <v>5.4886232584589179</v>
      </c>
      <c r="J59"/>
      <c r="K59"/>
      <c r="L59"/>
      <c r="M59"/>
      <c r="N59"/>
      <c r="O59"/>
      <c r="P59"/>
      <c r="Q59"/>
      <c r="T59" s="66"/>
    </row>
    <row r="60" spans="1:33" s="33" customFormat="1">
      <c r="A60" s="89"/>
      <c r="E60" s="123">
        <v>0.56999999999999995</v>
      </c>
      <c r="F60" s="1146">
        <f t="dataTable" ref="F60:F66" dt2D="0" dtr="0" r1="L35" ca="1"/>
        <v>6.0396474267841933</v>
      </c>
      <c r="G60" s="124"/>
      <c r="H60" s="123">
        <v>0.27</v>
      </c>
      <c r="I60" s="1146">
        <f t="dataTable" ref="I60:I66" dt2D="0" dtr="0" r1="L36" ca="1"/>
        <v>6.315159510946831</v>
      </c>
      <c r="J60"/>
      <c r="K60"/>
      <c r="L60"/>
      <c r="M60"/>
      <c r="N60"/>
      <c r="O60"/>
      <c r="P60"/>
      <c r="Q60"/>
      <c r="T60" s="66"/>
    </row>
    <row r="61" spans="1:33" s="33" customFormat="1">
      <c r="A61" s="89"/>
      <c r="E61" s="125">
        <f t="shared" ref="E61:E66" si="13">E60+E$68</f>
        <v>0.57999999999999996</v>
      </c>
      <c r="F61" s="367">
        <v>5.7641353426215511</v>
      </c>
      <c r="G61" s="124"/>
      <c r="H61" s="125">
        <f t="shared" ref="H61:H66" si="14">H60+H$68</f>
        <v>0.28000000000000003</v>
      </c>
      <c r="I61" s="367">
        <v>6.0396474267841933</v>
      </c>
      <c r="J61" s="124"/>
      <c r="K61" s="124"/>
      <c r="L61" s="124"/>
      <c r="M61" s="124"/>
      <c r="T61" s="66"/>
    </row>
    <row r="62" spans="1:33" s="33" customFormat="1">
      <c r="A62" s="89"/>
      <c r="E62" s="125">
        <f t="shared" si="13"/>
        <v>0.59</v>
      </c>
      <c r="F62" s="367">
        <v>5.4886232584589179</v>
      </c>
      <c r="G62" s="124"/>
      <c r="H62" s="125">
        <f t="shared" si="14"/>
        <v>0.29000000000000004</v>
      </c>
      <c r="I62" s="367">
        <v>5.7641353426215511</v>
      </c>
      <c r="J62" s="124"/>
      <c r="K62" s="124"/>
      <c r="L62" s="124"/>
      <c r="M62" s="124"/>
      <c r="T62" s="66"/>
    </row>
    <row r="63" spans="1:33" s="33" customFormat="1">
      <c r="A63" s="89"/>
      <c r="E63" s="125">
        <f t="shared" si="13"/>
        <v>0.6</v>
      </c>
      <c r="F63" s="367">
        <v>5.2131111742962766</v>
      </c>
      <c r="G63" s="124"/>
      <c r="H63" s="125">
        <f t="shared" si="14"/>
        <v>0.30000000000000004</v>
      </c>
      <c r="I63" s="367">
        <v>5.4886232584589134</v>
      </c>
      <c r="J63" s="124"/>
      <c r="K63" s="124"/>
      <c r="L63" s="124"/>
      <c r="M63" s="124"/>
      <c r="T63" s="66"/>
    </row>
    <row r="64" spans="1:33" s="33" customFormat="1">
      <c r="A64" s="89"/>
      <c r="E64" s="125">
        <f t="shared" si="13"/>
        <v>0.61</v>
      </c>
      <c r="F64" s="367">
        <v>4.937599090133638</v>
      </c>
      <c r="G64" s="124"/>
      <c r="H64" s="125">
        <f t="shared" si="14"/>
        <v>0.31000000000000005</v>
      </c>
      <c r="I64" s="367">
        <v>5.2131111742962766</v>
      </c>
      <c r="J64" s="124"/>
      <c r="K64" s="124"/>
      <c r="L64" s="124"/>
      <c r="M64" s="124"/>
      <c r="T64" s="66"/>
    </row>
    <row r="65" spans="1:20" s="33" customFormat="1">
      <c r="A65" s="89"/>
      <c r="D65" s="75"/>
      <c r="E65" s="125">
        <f t="shared" si="13"/>
        <v>0.62</v>
      </c>
      <c r="F65" s="367">
        <v>4.6620870059710002</v>
      </c>
      <c r="G65" s="124"/>
      <c r="H65" s="125">
        <f t="shared" si="14"/>
        <v>0.32000000000000006</v>
      </c>
      <c r="I65" s="367">
        <v>4.937599090133638</v>
      </c>
      <c r="J65" s="124"/>
      <c r="K65" s="124"/>
      <c r="L65" s="124"/>
      <c r="M65" s="124"/>
      <c r="T65" s="66"/>
    </row>
    <row r="66" spans="1:20" s="33" customFormat="1">
      <c r="A66" s="89"/>
      <c r="E66" s="125">
        <f t="shared" si="13"/>
        <v>0.63</v>
      </c>
      <c r="F66" s="368">
        <v>4.3865749218083581</v>
      </c>
      <c r="G66" s="124"/>
      <c r="H66" s="125">
        <f t="shared" si="14"/>
        <v>0.33000000000000007</v>
      </c>
      <c r="I66" s="368">
        <v>4.6620870059710002</v>
      </c>
      <c r="J66" s="124"/>
      <c r="K66" s="124"/>
      <c r="L66" s="124"/>
      <c r="M66" s="124"/>
      <c r="T66" s="66"/>
    </row>
    <row r="67" spans="1:20" s="33" customFormat="1">
      <c r="A67" s="89"/>
      <c r="E67" s="127"/>
      <c r="F67" s="34"/>
      <c r="T67" s="66"/>
    </row>
    <row r="68" spans="1:20" s="33" customFormat="1">
      <c r="A68" s="89"/>
      <c r="E68" s="123">
        <v>0.01</v>
      </c>
      <c r="F68" s="72" t="s">
        <v>208</v>
      </c>
      <c r="H68" s="123">
        <v>0.01</v>
      </c>
      <c r="I68" s="72" t="s">
        <v>208</v>
      </c>
      <c r="J68"/>
      <c r="T68" s="66"/>
    </row>
    <row r="69" spans="1:20" s="33" customFormat="1">
      <c r="A69" s="89"/>
      <c r="T69" s="66"/>
    </row>
    <row r="70" spans="1:20" s="33" customFormat="1">
      <c r="A70" s="89"/>
      <c r="E70" s="420" t="s">
        <v>187</v>
      </c>
      <c r="T70" s="66"/>
    </row>
    <row r="71" spans="1:20" s="33" customFormat="1" ht="15.5">
      <c r="A71" s="89" t="s">
        <v>118</v>
      </c>
      <c r="E71" s="120" t="str">
        <f>R3&amp; " EPS CAGR Sensitivity Table"</f>
        <v>2011 - 2015 EPS CAGR Sensitivity Table</v>
      </c>
      <c r="T71" s="66"/>
    </row>
    <row r="72" spans="1:20" s="33" customFormat="1">
      <c r="A72" s="89"/>
      <c r="F72" s="121"/>
      <c r="T72" s="66"/>
    </row>
    <row r="73" spans="1:20" s="33" customFormat="1">
      <c r="A73" s="89"/>
      <c r="E73" s="121"/>
      <c r="F73" s="129" t="str">
        <f>L5&amp;" Sales Growth Rate"</f>
        <v>2011 Sales Growth Rate</v>
      </c>
      <c r="G73" s="130"/>
      <c r="H73" s="130"/>
      <c r="I73" s="130"/>
      <c r="J73" s="130"/>
      <c r="K73" s="130"/>
      <c r="L73" s="130"/>
      <c r="M73" s="130"/>
      <c r="O73" s="72" t="s">
        <v>208</v>
      </c>
      <c r="T73" s="66"/>
    </row>
    <row r="74" spans="1:20" s="33" customFormat="1">
      <c r="A74" s="89"/>
      <c r="E74" s="1220">
        <f>L29</f>
        <v>5.4886232584589179</v>
      </c>
      <c r="F74" s="131">
        <v>0.02</v>
      </c>
      <c r="G74" s="132">
        <f t="shared" ref="G74:M74" si="15">F74+$O74</f>
        <v>2.5000000000000001E-2</v>
      </c>
      <c r="H74" s="132">
        <f t="shared" si="15"/>
        <v>3.0000000000000002E-2</v>
      </c>
      <c r="I74" s="132">
        <f t="shared" si="15"/>
        <v>3.5000000000000003E-2</v>
      </c>
      <c r="J74" s="132">
        <f t="shared" si="15"/>
        <v>0.04</v>
      </c>
      <c r="K74" s="132">
        <f t="shared" si="15"/>
        <v>4.4999999999999998E-2</v>
      </c>
      <c r="L74" s="132">
        <f t="shared" si="15"/>
        <v>4.9999999999999996E-2</v>
      </c>
      <c r="M74" s="132">
        <f t="shared" si="15"/>
        <v>5.4999999999999993E-2</v>
      </c>
      <c r="O74" s="123">
        <v>5.0000000000000001E-3</v>
      </c>
      <c r="T74" s="66"/>
    </row>
    <row r="75" spans="1:20" s="33" customFormat="1">
      <c r="A75" s="89"/>
      <c r="E75" s="133">
        <v>0.56999999999999995</v>
      </c>
      <c r="F75" s="1210">
        <f t="dataTable" ref="F75:M83" dt2D="1" dtr="1" r1="L34" r2="L35"/>
        <v>6.0947498436167198</v>
      </c>
      <c r="G75" s="1211">
        <v>6.1085254478248521</v>
      </c>
      <c r="H75" s="1211">
        <v>6.1223010520329844</v>
      </c>
      <c r="I75" s="1211">
        <v>6.1360766562411193</v>
      </c>
      <c r="J75" s="1211">
        <v>6.1498522604492507</v>
      </c>
      <c r="K75" s="1211">
        <v>6.1636278646573777</v>
      </c>
      <c r="L75" s="1211">
        <v>6.17740346886551</v>
      </c>
      <c r="M75" s="1212">
        <v>6.1911790730736467</v>
      </c>
      <c r="T75" s="66"/>
    </row>
    <row r="76" spans="1:20" s="33" customFormat="1">
      <c r="A76" s="89"/>
      <c r="D76" s="126"/>
      <c r="E76" s="134">
        <f t="shared" ref="E76:E83" si="16">E75+E$85</f>
        <v>0.57999999999999996</v>
      </c>
      <c r="F76" s="1213">
        <v>5.8137275177708281</v>
      </c>
      <c r="G76" s="1214">
        <v>5.8261255615581504</v>
      </c>
      <c r="H76" s="1214">
        <v>5.8385236053454674</v>
      </c>
      <c r="I76" s="1214">
        <v>5.8509216491327845</v>
      </c>
      <c r="J76" s="1214">
        <v>5.8633196929201024</v>
      </c>
      <c r="K76" s="1214">
        <v>5.8757177367074229</v>
      </c>
      <c r="L76" s="1214">
        <v>5.8881157804947399</v>
      </c>
      <c r="M76" s="1215">
        <v>5.9005138242820623</v>
      </c>
      <c r="T76" s="66"/>
    </row>
    <row r="77" spans="1:20" s="33" customFormat="1">
      <c r="A77" s="89"/>
      <c r="D77" s="427">
        <f>L5</f>
        <v>2011</v>
      </c>
      <c r="E77" s="134">
        <f t="shared" si="16"/>
        <v>0.59</v>
      </c>
      <c r="F77" s="1213">
        <v>5.5327051919249373</v>
      </c>
      <c r="G77" s="1214">
        <v>5.5437256752914443</v>
      </c>
      <c r="H77" s="1214">
        <v>5.5547461586579514</v>
      </c>
      <c r="I77" s="1214">
        <v>5.565766642024454</v>
      </c>
      <c r="J77" s="1214">
        <v>5.5767871253909611</v>
      </c>
      <c r="K77" s="1214">
        <v>5.5878076087574629</v>
      </c>
      <c r="L77" s="1214">
        <v>5.5988280921239699</v>
      </c>
      <c r="M77" s="1215">
        <v>5.6098485754904779</v>
      </c>
      <c r="T77" s="66"/>
    </row>
    <row r="78" spans="1:20" s="33" customFormat="1">
      <c r="A78" s="89"/>
      <c r="D78" s="126" t="s">
        <v>968</v>
      </c>
      <c r="E78" s="134">
        <f t="shared" si="16"/>
        <v>0.6</v>
      </c>
      <c r="F78" s="1213">
        <v>5.2516828660790456</v>
      </c>
      <c r="G78" s="1216">
        <v>5.2613257890247382</v>
      </c>
      <c r="H78" s="1214">
        <v>5.2709687119704309</v>
      </c>
      <c r="I78" s="1214">
        <v>5.2806116349161236</v>
      </c>
      <c r="J78" s="1214">
        <v>5.2902545578618154</v>
      </c>
      <c r="K78" s="1214">
        <v>5.2998974808075081</v>
      </c>
      <c r="L78" s="1214">
        <v>5.3095404037532008</v>
      </c>
      <c r="M78" s="1215">
        <v>5.3191833266988926</v>
      </c>
      <c r="T78" s="66"/>
    </row>
    <row r="79" spans="1:20" s="33" customFormat="1">
      <c r="A79" s="89"/>
      <c r="D79" s="128"/>
      <c r="E79" s="134">
        <f t="shared" si="16"/>
        <v>0.61</v>
      </c>
      <c r="F79" s="1213">
        <v>4.970660540233153</v>
      </c>
      <c r="G79" s="1214">
        <v>4.9789259027580322</v>
      </c>
      <c r="H79" s="1214">
        <v>4.9871912652829149</v>
      </c>
      <c r="I79" s="1214">
        <v>4.9954566278077923</v>
      </c>
      <c r="J79" s="1214">
        <v>5.0037219903326706</v>
      </c>
      <c r="K79" s="1214">
        <v>5.011987352857548</v>
      </c>
      <c r="L79" s="1214">
        <v>5.0202527153824308</v>
      </c>
      <c r="M79" s="1215">
        <v>5.0285180779073091</v>
      </c>
      <c r="T79" s="66"/>
    </row>
    <row r="80" spans="1:20" s="33" customFormat="1">
      <c r="A80" s="89"/>
      <c r="D80" s="75"/>
      <c r="E80" s="134">
        <f t="shared" si="16"/>
        <v>0.62</v>
      </c>
      <c r="F80" s="1213">
        <v>4.6896382143872621</v>
      </c>
      <c r="G80" s="1214">
        <v>4.6965260164913261</v>
      </c>
      <c r="H80" s="1214">
        <v>4.7034138185953944</v>
      </c>
      <c r="I80" s="1214">
        <v>4.7103016206994619</v>
      </c>
      <c r="J80" s="1214">
        <v>4.7171894228035303</v>
      </c>
      <c r="K80" s="1214">
        <v>4.7240772249075924</v>
      </c>
      <c r="L80" s="1214">
        <v>4.7309650270116563</v>
      </c>
      <c r="M80" s="1215">
        <v>4.7378528291157238</v>
      </c>
      <c r="T80" s="66"/>
    </row>
    <row r="81" spans="1:20" s="33" customFormat="1">
      <c r="A81" s="89"/>
      <c r="E81" s="134">
        <f t="shared" si="16"/>
        <v>0.63</v>
      </c>
      <c r="F81" s="1213">
        <v>4.4086158885413713</v>
      </c>
      <c r="G81" s="1214">
        <v>4.4141261302246253</v>
      </c>
      <c r="H81" s="1214">
        <v>4.4196363719078784</v>
      </c>
      <c r="I81" s="1214">
        <v>4.4251466135911262</v>
      </c>
      <c r="J81" s="1214">
        <v>4.4306568552743801</v>
      </c>
      <c r="K81" s="1214">
        <v>4.4361670969576332</v>
      </c>
      <c r="L81" s="1214">
        <v>4.4416773386408863</v>
      </c>
      <c r="M81" s="1215">
        <v>4.4471875803241403</v>
      </c>
      <c r="T81" s="66"/>
    </row>
    <row r="82" spans="1:20" s="33" customFormat="1">
      <c r="A82" s="89"/>
      <c r="E82" s="134">
        <f t="shared" si="16"/>
        <v>0.64</v>
      </c>
      <c r="F82" s="1213">
        <v>4.1275935626954796</v>
      </c>
      <c r="G82" s="1214">
        <v>4.1317262439579183</v>
      </c>
      <c r="H82" s="1214">
        <v>4.1358589252203579</v>
      </c>
      <c r="I82" s="1214">
        <v>4.1399916064828002</v>
      </c>
      <c r="J82" s="1214">
        <v>4.1441242877452398</v>
      </c>
      <c r="K82" s="1214">
        <v>4.1482569690076776</v>
      </c>
      <c r="L82" s="1214">
        <v>4.1523896502701172</v>
      </c>
      <c r="M82" s="1215">
        <v>4.1565223315325559</v>
      </c>
      <c r="T82" s="66"/>
    </row>
    <row r="83" spans="1:20" s="33" customFormat="1">
      <c r="A83" s="89"/>
      <c r="E83" s="134">
        <f t="shared" si="16"/>
        <v>0.65</v>
      </c>
      <c r="F83" s="1217">
        <v>3.8465712368495879</v>
      </c>
      <c r="G83" s="1218">
        <v>3.8493263576912171</v>
      </c>
      <c r="H83" s="1218">
        <v>3.852081478532841</v>
      </c>
      <c r="I83" s="1218">
        <v>3.8548365993744658</v>
      </c>
      <c r="J83" s="1218">
        <v>3.8575917202160941</v>
      </c>
      <c r="K83" s="1218">
        <v>3.860346841057718</v>
      </c>
      <c r="L83" s="1218">
        <v>3.8631019618993472</v>
      </c>
      <c r="M83" s="1219">
        <v>3.865857082740972</v>
      </c>
      <c r="T83" s="66"/>
    </row>
    <row r="84" spans="1:20" s="33" customFormat="1">
      <c r="A84" s="89"/>
      <c r="E84" s="127"/>
      <c r="T84" s="66"/>
    </row>
    <row r="85" spans="1:20" s="33" customFormat="1">
      <c r="A85" s="89"/>
      <c r="E85" s="122">
        <f>E68</f>
        <v>0.01</v>
      </c>
      <c r="F85" s="72" t="s">
        <v>208</v>
      </c>
      <c r="T85" s="66"/>
    </row>
    <row r="86" spans="1:20" s="33" customFormat="1">
      <c r="A86" s="89"/>
      <c r="T86" s="66"/>
    </row>
    <row r="87" spans="1:20" s="33" customFormat="1">
      <c r="A87" s="89" t="s">
        <v>118</v>
      </c>
      <c r="E87" s="128"/>
      <c r="F87" s="123"/>
      <c r="G87" s="487"/>
      <c r="H87" s="488"/>
      <c r="T87" s="66"/>
    </row>
  </sheetData>
  <customSheetViews>
    <customSheetView guid="{5A4827F7-D52D-44AD-B257-2AB13F875B96}" showGridLines="0" fitToPage="1" topLeftCell="A4">
      <selection activeCell="T15" sqref="T15"/>
      <pageMargins left="0.5" right="0.5" top="0.7" bottom="0.65" header="0.25" footer="0.25"/>
      <printOptions horizontalCentered="1"/>
      <pageSetup scale="87" orientation="landscape" r:id="rId1"/>
      <headerFooter alignWithMargins="0">
        <oddFooter>&amp;L&amp;8COPYRIGHT 2011 © by Training The Street, Inc&amp;C&amp;8&amp;G&amp;R&amp;8For training purposes only!</oddFooter>
      </headerFooter>
    </customSheetView>
  </customSheetViews>
  <phoneticPr fontId="18" type="noConversion"/>
  <printOptions horizontalCentered="1"/>
  <pageMargins left="0.5" right="0.5" top="0.7" bottom="0.65" header="0.25" footer="0.25"/>
  <pageSetup scale="87" orientation="landscape" r:id="rId2"/>
  <headerFooter alignWithMargins="0">
    <oddFooter>&amp;L&amp;8COPYRIGHT 2011 © by Training The Street, Inc&amp;C&amp;8&amp;G&amp;R&amp;8For training purposes only!</oddFooter>
  </headerFooter>
  <legacyDrawing r:id="rId3"/>
  <legacyDrawingHF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B2:V38"/>
  <sheetViews>
    <sheetView zoomScale="75" zoomScaleNormal="75" workbookViewId="0">
      <selection activeCell="J13" sqref="J13"/>
    </sheetView>
  </sheetViews>
  <sheetFormatPr defaultColWidth="9.1796875" defaultRowHeight="13"/>
  <cols>
    <col min="1" max="1" width="4" style="903" customWidth="1"/>
    <col min="2" max="2" width="20.1796875" style="903" customWidth="1"/>
    <col min="3" max="11" width="11.81640625" style="903" customWidth="1"/>
    <col min="12" max="12" width="10.5" style="903" customWidth="1"/>
    <col min="13" max="13" width="17.5" style="903" bestFit="1" customWidth="1"/>
    <col min="14" max="16384" width="9.1796875" style="903"/>
  </cols>
  <sheetData>
    <row r="2" spans="2:15" ht="13.75" thickBot="1"/>
    <row r="3" spans="2:15" ht="30">
      <c r="B3" s="1265" t="s">
        <v>796</v>
      </c>
      <c r="C3" s="1266"/>
      <c r="D3" s="1266"/>
      <c r="E3" s="1266"/>
      <c r="F3" s="1266"/>
      <c r="G3" s="1266"/>
      <c r="H3" s="1266"/>
      <c r="I3" s="1266"/>
      <c r="J3" s="1266"/>
      <c r="K3" s="1266"/>
      <c r="L3" s="1266"/>
      <c r="M3" s="1267"/>
    </row>
    <row r="4" spans="2:15" s="914" customFormat="1" ht="22.75">
      <c r="B4" s="1280" t="s">
        <v>628</v>
      </c>
      <c r="C4" s="1281"/>
      <c r="D4" s="1281"/>
      <c r="E4" s="1281"/>
      <c r="F4" s="1281"/>
      <c r="G4" s="1281"/>
      <c r="H4" s="1281"/>
      <c r="I4" s="1281"/>
      <c r="J4" s="1281"/>
      <c r="K4" s="1281"/>
      <c r="L4" s="1281"/>
      <c r="M4" s="1282"/>
    </row>
    <row r="5" spans="2:15" s="914" customFormat="1" ht="15.75">
      <c r="B5" s="1283" t="s">
        <v>794</v>
      </c>
      <c r="C5" s="1284"/>
      <c r="D5" s="1284"/>
      <c r="E5" s="1284"/>
      <c r="F5" s="1284"/>
      <c r="G5" s="1284"/>
      <c r="H5" s="1284"/>
      <c r="I5" s="1284"/>
      <c r="J5" s="1284"/>
      <c r="K5" s="1284"/>
      <c r="L5" s="1284"/>
      <c r="M5" s="1285"/>
      <c r="O5" s="1024"/>
    </row>
    <row r="6" spans="2:15" ht="13.75" thickBot="1">
      <c r="B6" s="1036" t="s">
        <v>845</v>
      </c>
      <c r="C6" s="947"/>
      <c r="D6" s="1035">
        <f t="shared" ref="D6:K6" si="0">D8/C8-1</f>
        <v>0.18894648654309365</v>
      </c>
      <c r="E6" s="1035">
        <f t="shared" si="0"/>
        <v>0.24519410741417635</v>
      </c>
      <c r="F6" s="1035">
        <f>F8/E8-1</f>
        <v>0.1458407017047465</v>
      </c>
      <c r="G6" s="1035">
        <f t="shared" si="0"/>
        <v>5.7087738251408338E-2</v>
      </c>
      <c r="H6" s="1035">
        <f t="shared" si="0"/>
        <v>4.3215464128243397E-3</v>
      </c>
      <c r="I6" s="1035">
        <f t="shared" si="0"/>
        <v>-1.8171245820612913E-3</v>
      </c>
      <c r="J6" s="1035">
        <f t="shared" si="0"/>
        <v>-1.0267239496104308E-2</v>
      </c>
      <c r="K6" s="1035">
        <f t="shared" si="0"/>
        <v>-4.4070041200706345E-2</v>
      </c>
      <c r="L6" s="1035">
        <f>L8/K8-1</f>
        <v>3.2248133610405683E-2</v>
      </c>
      <c r="M6" s="1034"/>
      <c r="O6" s="1024"/>
    </row>
    <row r="7" spans="2:15" ht="16.5" thickBot="1">
      <c r="B7" s="907"/>
      <c r="C7" s="929">
        <v>2001</v>
      </c>
      <c r="D7" s="928">
        <v>2002</v>
      </c>
      <c r="E7" s="928">
        <v>2003</v>
      </c>
      <c r="F7" s="928">
        <v>2004</v>
      </c>
      <c r="G7" s="928">
        <v>2005</v>
      </c>
      <c r="H7" s="928">
        <v>2006</v>
      </c>
      <c r="I7" s="928">
        <v>2007</v>
      </c>
      <c r="J7" s="928">
        <v>2008</v>
      </c>
      <c r="K7" s="928">
        <v>2009</v>
      </c>
      <c r="L7" s="927">
        <v>2010</v>
      </c>
      <c r="M7" s="905"/>
      <c r="O7" s="1024"/>
    </row>
    <row r="8" spans="2:15" ht="19.5" customHeight="1">
      <c r="B8" s="995" t="s">
        <v>844</v>
      </c>
      <c r="C8" s="978">
        <f>SUM('Actual IS'!C17:C20)</f>
        <v>7639.2</v>
      </c>
      <c r="D8" s="978">
        <f>SUM('Actual IS'!D17:D20)</f>
        <v>9082.6</v>
      </c>
      <c r="E8" s="978">
        <f>SUM('Actual IS'!E17:E20)</f>
        <v>11309.599999999999</v>
      </c>
      <c r="F8" s="978">
        <f>SUM('Actual IS'!F17:F20)</f>
        <v>12959</v>
      </c>
      <c r="G8" s="978">
        <f>SUM('Actual IS'!G17:G20)</f>
        <v>13698.800000000001</v>
      </c>
      <c r="H8" s="978">
        <f>SUM('Actual IS'!H17:H20)</f>
        <v>13758</v>
      </c>
      <c r="I8" s="978">
        <f>SUM('Actual IS'!I17:I20)</f>
        <v>13733</v>
      </c>
      <c r="J8" s="978">
        <f>SUM('Actual IS'!J17:J20)</f>
        <v>13592</v>
      </c>
      <c r="K8" s="978">
        <f>SUM('Actual IS'!K17:K20)</f>
        <v>12993</v>
      </c>
      <c r="L8" s="978">
        <f>SUM('Actual IS'!L17:L24)</f>
        <v>13412</v>
      </c>
      <c r="M8" s="995" t="s">
        <v>843</v>
      </c>
      <c r="O8" s="949" t="s">
        <v>190</v>
      </c>
    </row>
    <row r="9" spans="2:15" ht="19.5" customHeight="1" thickBot="1">
      <c r="B9" s="940" t="s">
        <v>842</v>
      </c>
      <c r="C9" s="978">
        <f>SUM('Actual IS'!C31:C32)</f>
        <v>7128.7999999999993</v>
      </c>
      <c r="D9" s="978">
        <f>SUM('Actual IS'!D31:D32)</f>
        <v>8142.4000000000005</v>
      </c>
      <c r="E9" s="978">
        <f>SUM('Actual IS'!E31:E32)</f>
        <v>9402.7999999999993</v>
      </c>
      <c r="F9" s="978">
        <f>SUM('Actual IS'!F31:F32)</f>
        <v>10164.200000000001</v>
      </c>
      <c r="G9" s="978">
        <f>SUM('Actual IS'!G31:G32)</f>
        <v>10743.9</v>
      </c>
      <c r="H9" s="978">
        <f>SUM('Actual IS'!H31:H32)</f>
        <v>9493</v>
      </c>
      <c r="I9" s="978">
        <f>SUM('Actual IS'!I31:I32)</f>
        <v>9391</v>
      </c>
      <c r="J9" s="978">
        <f>SUM('Actual IS'!J31:J32)</f>
        <v>10021</v>
      </c>
      <c r="K9" s="978">
        <f>SUM('Actual IS'!K31:K32)</f>
        <v>9289</v>
      </c>
      <c r="L9" s="978">
        <f>SUM('Actual IS'!L31:L32)</f>
        <v>9995</v>
      </c>
      <c r="M9" s="940" t="s">
        <v>841</v>
      </c>
      <c r="O9" s="1033" t="s">
        <v>745</v>
      </c>
    </row>
    <row r="10" spans="2:15" ht="19.5" customHeight="1">
      <c r="B10" s="942" t="s">
        <v>13</v>
      </c>
      <c r="C10" s="943">
        <f t="shared" ref="C10:K10" si="1">C8-C9</f>
        <v>510.40000000000055</v>
      </c>
      <c r="D10" s="943">
        <f t="shared" si="1"/>
        <v>940.19999999999982</v>
      </c>
      <c r="E10" s="943">
        <f t="shared" si="1"/>
        <v>1906.7999999999993</v>
      </c>
      <c r="F10" s="943">
        <f t="shared" si="1"/>
        <v>2794.7999999999993</v>
      </c>
      <c r="G10" s="943">
        <f t="shared" si="1"/>
        <v>2954.9000000000015</v>
      </c>
      <c r="H10" s="943">
        <f t="shared" si="1"/>
        <v>4265</v>
      </c>
      <c r="I10" s="943">
        <f t="shared" si="1"/>
        <v>4342</v>
      </c>
      <c r="J10" s="943">
        <f t="shared" si="1"/>
        <v>3571</v>
      </c>
      <c r="K10" s="943">
        <f t="shared" si="1"/>
        <v>3704</v>
      </c>
      <c r="L10" s="943">
        <f>L8-L9</f>
        <v>3417</v>
      </c>
      <c r="M10" s="942" t="s">
        <v>13</v>
      </c>
      <c r="O10" s="939" t="s">
        <v>741</v>
      </c>
    </row>
    <row r="11" spans="2:15" ht="19.5" customHeight="1">
      <c r="B11" s="940" t="s">
        <v>840</v>
      </c>
      <c r="C11" s="978">
        <f>SUM('Actual IS'!C34:C36)</f>
        <v>207.79999999999998</v>
      </c>
      <c r="D11" s="978">
        <f>SUM('Actual IS'!D34:D36)</f>
        <v>235.4</v>
      </c>
      <c r="E11" s="978">
        <f>SUM('Actual IS'!E34:E36)</f>
        <v>352.9</v>
      </c>
      <c r="F11" s="978">
        <f>SUM('Actual IS'!F34:F36)</f>
        <v>314.7</v>
      </c>
      <c r="G11" s="978">
        <f>SUM('Actual IS'!G34:G36)</f>
        <v>379.29999999999995</v>
      </c>
      <c r="H11" s="978">
        <f>SUM('Actual IS'!H34:H36)</f>
        <v>435</v>
      </c>
      <c r="I11" s="978">
        <f>SUM('Actual IS'!I34:I36)</f>
        <v>335</v>
      </c>
      <c r="J11" s="978">
        <f>SUM('Actual IS'!J34:J36)</f>
        <v>352</v>
      </c>
      <c r="K11" s="978">
        <f>SUM('Actual IS'!K34:K36)</f>
        <v>349</v>
      </c>
      <c r="L11" s="978">
        <f>SUM('Actual IS'!L34:L36)</f>
        <v>348</v>
      </c>
      <c r="M11" s="940" t="s">
        <v>840</v>
      </c>
      <c r="O11" s="926" t="s">
        <v>729</v>
      </c>
    </row>
    <row r="12" spans="2:15" ht="19.5" customHeight="1">
      <c r="B12" s="940" t="s">
        <v>839</v>
      </c>
      <c r="C12" s="978">
        <v>0</v>
      </c>
      <c r="D12" s="978">
        <v>0</v>
      </c>
      <c r="E12" s="978">
        <v>0</v>
      </c>
      <c r="F12" s="978">
        <v>0</v>
      </c>
      <c r="G12" s="978">
        <v>0</v>
      </c>
      <c r="H12" s="978">
        <v>0</v>
      </c>
      <c r="I12" s="978">
        <v>0</v>
      </c>
      <c r="J12" s="978">
        <v>0</v>
      </c>
      <c r="K12" s="978">
        <v>0</v>
      </c>
      <c r="L12" s="978">
        <v>0</v>
      </c>
      <c r="M12" s="940" t="s">
        <v>839</v>
      </c>
      <c r="O12" s="926" t="s">
        <v>727</v>
      </c>
    </row>
    <row r="13" spans="2:15" ht="19.5" customHeight="1">
      <c r="B13" s="940" t="s">
        <v>838</v>
      </c>
      <c r="C13" s="978">
        <f>'Actual IS'!C33</f>
        <v>483.4</v>
      </c>
      <c r="D13" s="978">
        <f>'Actual IS'!D33</f>
        <v>594.1</v>
      </c>
      <c r="E13" s="978">
        <f>'Actual IS'!E33</f>
        <v>704.7</v>
      </c>
      <c r="F13" s="978">
        <f>'Actual IS'!F33</f>
        <v>630.1</v>
      </c>
      <c r="G13" s="978">
        <f>'Actual IS'!G33</f>
        <v>512.1</v>
      </c>
      <c r="H13" s="978">
        <f>'Actual IS'!H33</f>
        <v>550</v>
      </c>
      <c r="I13" s="978">
        <f>'Actual IS'!I33</f>
        <v>444</v>
      </c>
      <c r="J13" s="978">
        <f>'Actual IS'!J33</f>
        <v>441</v>
      </c>
      <c r="K13" s="978">
        <f>'Actual IS'!K33</f>
        <v>416</v>
      </c>
      <c r="L13" s="978">
        <f>'Actual IS'!L33</f>
        <v>422</v>
      </c>
      <c r="M13" s="940" t="s">
        <v>838</v>
      </c>
      <c r="O13" s="939" t="s">
        <v>713</v>
      </c>
    </row>
    <row r="14" spans="2:15" ht="19.5" customHeight="1">
      <c r="B14" s="942" t="s">
        <v>713</v>
      </c>
      <c r="C14" s="943">
        <f t="shared" ref="C14:K14" si="2">C10-C11-C12-C13</f>
        <v>-180.79999999999939</v>
      </c>
      <c r="D14" s="943">
        <f t="shared" si="2"/>
        <v>110.69999999999982</v>
      </c>
      <c r="E14" s="943">
        <f t="shared" si="2"/>
        <v>849.19999999999914</v>
      </c>
      <c r="F14" s="943">
        <f t="shared" si="2"/>
        <v>1849.9999999999995</v>
      </c>
      <c r="G14" s="943">
        <f t="shared" si="2"/>
        <v>2063.5000000000014</v>
      </c>
      <c r="H14" s="943">
        <f t="shared" si="2"/>
        <v>3280</v>
      </c>
      <c r="I14" s="943">
        <f t="shared" si="2"/>
        <v>3563</v>
      </c>
      <c r="J14" s="943">
        <f t="shared" si="2"/>
        <v>2778</v>
      </c>
      <c r="K14" s="943">
        <f t="shared" si="2"/>
        <v>2939</v>
      </c>
      <c r="L14" s="943">
        <f>L10-L11-L12-L13</f>
        <v>2647</v>
      </c>
      <c r="M14" s="942" t="s">
        <v>713</v>
      </c>
      <c r="O14" s="926" t="s">
        <v>723</v>
      </c>
    </row>
    <row r="15" spans="2:15" ht="19.5" customHeight="1">
      <c r="B15" s="940" t="s">
        <v>837</v>
      </c>
      <c r="C15" s="978"/>
      <c r="D15" s="978"/>
      <c r="E15" s="1032"/>
      <c r="F15" s="1032"/>
      <c r="G15" s="1032"/>
      <c r="H15" s="1031"/>
      <c r="I15" s="1031"/>
      <c r="J15" s="1031"/>
      <c r="K15" s="1031"/>
      <c r="L15" s="1031"/>
      <c r="M15" s="940" t="s">
        <v>836</v>
      </c>
      <c r="O15" s="926" t="s">
        <v>720</v>
      </c>
    </row>
    <row r="16" spans="2:15" ht="19.5" customHeight="1">
      <c r="B16" s="940" t="s">
        <v>835</v>
      </c>
      <c r="C16" s="978">
        <f>SUM('Actual IS'!C21:C25)+'Actual IS'!C16</f>
        <v>114.8</v>
      </c>
      <c r="D16" s="978">
        <f>SUM('Actual IS'!D21:D25)+'Actual IS'!D16</f>
        <v>57.7</v>
      </c>
      <c r="E16" s="978">
        <f>SUM('Actual IS'!E21:E27)</f>
        <v>84.4</v>
      </c>
      <c r="F16" s="978">
        <f>SUM('Actual IS'!F21:F27)</f>
        <v>218.2</v>
      </c>
      <c r="G16" s="978">
        <f>SUM('Actual IS'!G21:G27)</f>
        <v>383.5</v>
      </c>
      <c r="H16" s="978">
        <f>SUM('Actual IS'!H21:H27)</f>
        <v>245</v>
      </c>
      <c r="I16" s="978">
        <f>SUM('Actual IS'!I21:I27)</f>
        <v>374</v>
      </c>
      <c r="J16" s="978">
        <f>SUM('Actual IS'!J21:J27)</f>
        <v>-371</v>
      </c>
      <c r="K16" s="978">
        <f>SUM('Actual IS'!K21:K27)</f>
        <v>23</v>
      </c>
      <c r="L16" s="978">
        <f>SUM('Actual IS'!L21:L27)</f>
        <v>372</v>
      </c>
      <c r="M16" s="940" t="s">
        <v>834</v>
      </c>
      <c r="O16" s="939" t="s">
        <v>718</v>
      </c>
    </row>
    <row r="17" spans="2:22" ht="19.5" customHeight="1">
      <c r="B17" s="942" t="s">
        <v>718</v>
      </c>
      <c r="C17" s="1030">
        <f t="shared" ref="C17:K17" si="3">C14-C15+C16</f>
        <v>-65.999999999999389</v>
      </c>
      <c r="D17" s="1030">
        <f t="shared" si="3"/>
        <v>168.39999999999981</v>
      </c>
      <c r="E17" s="1030">
        <f t="shared" si="3"/>
        <v>933.59999999999911</v>
      </c>
      <c r="F17" s="1030">
        <f t="shared" si="3"/>
        <v>2068.1999999999994</v>
      </c>
      <c r="G17" s="1030">
        <f t="shared" si="3"/>
        <v>2447.0000000000014</v>
      </c>
      <c r="H17" s="1030">
        <f t="shared" si="3"/>
        <v>3525</v>
      </c>
      <c r="I17" s="1030">
        <f t="shared" si="3"/>
        <v>3937</v>
      </c>
      <c r="J17" s="1030">
        <f t="shared" si="3"/>
        <v>2407</v>
      </c>
      <c r="K17" s="1030">
        <f t="shared" si="3"/>
        <v>2962</v>
      </c>
      <c r="L17" s="1030">
        <f>L14-L15+L16</f>
        <v>3019</v>
      </c>
      <c r="M17" s="942" t="s">
        <v>718</v>
      </c>
      <c r="O17" s="926" t="s">
        <v>76</v>
      </c>
      <c r="V17" s="914"/>
    </row>
    <row r="18" spans="2:22" ht="19.5" customHeight="1">
      <c r="B18" s="940" t="s">
        <v>76</v>
      </c>
      <c r="C18" s="978">
        <f>'Actual IS'!C41</f>
        <v>-177.5</v>
      </c>
      <c r="D18" s="978">
        <f>'Actual IS'!D41</f>
        <v>-54.5</v>
      </c>
      <c r="E18" s="978">
        <f>'Actual IS'!E41</f>
        <v>124.8</v>
      </c>
      <c r="F18" s="978">
        <f>'Actual IS'!F41</f>
        <v>519.79999999999995</v>
      </c>
      <c r="G18" s="978">
        <f>'Actual IS'!G41</f>
        <v>621.1</v>
      </c>
      <c r="H18" s="978">
        <f>'Actual IS'!H41</f>
        <v>997</v>
      </c>
      <c r="I18" s="978">
        <f>'Actual IS'!I41</f>
        <v>1130</v>
      </c>
      <c r="J18" s="978">
        <f>'Actual IS'!J41</f>
        <v>603</v>
      </c>
      <c r="K18" s="978">
        <f>'Actual IS'!K41</f>
        <v>779</v>
      </c>
      <c r="L18" s="978">
        <v>846</v>
      </c>
      <c r="M18" s="940" t="s">
        <v>76</v>
      </c>
      <c r="O18" s="939" t="s">
        <v>711</v>
      </c>
    </row>
    <row r="19" spans="2:22" ht="19.5" customHeight="1" thickBot="1">
      <c r="B19" s="1027" t="s">
        <v>711</v>
      </c>
      <c r="C19" s="1029">
        <f t="shared" ref="C19:L19" si="4">C17-C18</f>
        <v>111.50000000000061</v>
      </c>
      <c r="D19" s="1029">
        <f t="shared" si="4"/>
        <v>222.89999999999981</v>
      </c>
      <c r="E19" s="1028">
        <f t="shared" si="4"/>
        <v>808.79999999999916</v>
      </c>
      <c r="F19" s="1028">
        <f t="shared" si="4"/>
        <v>1548.3999999999994</v>
      </c>
      <c r="G19" s="1028">
        <f t="shared" si="4"/>
        <v>1825.9000000000015</v>
      </c>
      <c r="H19" s="1028">
        <f t="shared" si="4"/>
        <v>2528</v>
      </c>
      <c r="I19" s="1028">
        <f t="shared" si="4"/>
        <v>2807</v>
      </c>
      <c r="J19" s="1028">
        <f t="shared" si="4"/>
        <v>1804</v>
      </c>
      <c r="K19" s="1028">
        <f t="shared" si="4"/>
        <v>2183</v>
      </c>
      <c r="L19" s="1028">
        <f t="shared" si="4"/>
        <v>2173</v>
      </c>
      <c r="M19" s="1027" t="s">
        <v>711</v>
      </c>
      <c r="O19" s="926" t="s">
        <v>703</v>
      </c>
    </row>
    <row r="20" spans="2:22" ht="19.5" customHeight="1" thickTop="1" thickBot="1">
      <c r="B20" s="1025"/>
      <c r="C20" s="1026"/>
      <c r="D20" s="1026"/>
      <c r="E20" s="1026"/>
      <c r="F20" s="1026"/>
      <c r="G20" s="1026"/>
      <c r="H20" s="1026"/>
      <c r="I20" s="1026"/>
      <c r="J20" s="1026"/>
      <c r="K20" s="1026"/>
      <c r="L20" s="1026"/>
      <c r="M20" s="1025"/>
      <c r="O20" s="921" t="s">
        <v>701</v>
      </c>
    </row>
    <row r="21" spans="2:22" ht="19.5" customHeight="1" thickTop="1">
      <c r="B21" s="940" t="s">
        <v>132</v>
      </c>
      <c r="C21" s="1023">
        <f>C19/'Balance Sheet'!C37</f>
        <v>0.64750290360046814</v>
      </c>
      <c r="D21" s="1023">
        <f>D19/'Balance Sheet'!D37</f>
        <v>1.3073313782991192</v>
      </c>
      <c r="E21" s="1023">
        <f>E19/'Balance Sheet'!E37</f>
        <v>4.5133928571428523</v>
      </c>
      <c r="F21" s="1023">
        <f>F19/'Balance Sheet'!F37</f>
        <v>8.1537651395471276</v>
      </c>
      <c r="G21" s="1023">
        <f>G19/'Balance Sheet'!G37</f>
        <v>9.2124117053481402</v>
      </c>
      <c r="H21" s="1023">
        <f>H19/'Balance Sheet'!H37</f>
        <v>6.1284848484848489</v>
      </c>
      <c r="I21" s="1023">
        <f>I19/'Balance Sheet'!I37</f>
        <v>7.1316056910569099</v>
      </c>
      <c r="J21" s="1023">
        <f>J19/'Balance Sheet'!J37</f>
        <v>4.99584602603157</v>
      </c>
      <c r="K21" s="1023">
        <f>K19/'Balance Sheet'!K37</f>
        <v>6.2353613253356182</v>
      </c>
      <c r="L21" s="1023">
        <f>L19/'Balance Sheet'!L37</f>
        <v>6.6656441717791415</v>
      </c>
      <c r="M21" s="940" t="s">
        <v>132</v>
      </c>
      <c r="O21" s="1024"/>
    </row>
    <row r="22" spans="2:22" ht="19.5" customHeight="1">
      <c r="B22" s="940" t="s">
        <v>773</v>
      </c>
      <c r="C22" s="1023">
        <f>C19/'Balance Sheet'!C38</f>
        <v>0.63424345847554386</v>
      </c>
      <c r="D22" s="1023">
        <f>D19/'Balance Sheet'!D38</f>
        <v>1.2891844997108144</v>
      </c>
      <c r="E22" s="1023">
        <f>E19/'Balance Sheet'!E38</f>
        <v>4.4611141753998851</v>
      </c>
      <c r="F22" s="1023">
        <f>F19/'Balance Sheet'!F38</f>
        <v>8.0144927536231858</v>
      </c>
      <c r="G22" s="1023">
        <f>G19/'Balance Sheet'!G38</f>
        <v>8.9417238001958932</v>
      </c>
      <c r="H22" s="1022">
        <f>H19/'Balance Sheet'!H38</f>
        <v>5.9848484848484853</v>
      </c>
      <c r="I22" s="1022">
        <f>I19/'Balance Sheet'!I38</f>
        <v>7.0122408193854611</v>
      </c>
      <c r="J22" s="1022">
        <f>J19/'Balance Sheet'!J38</f>
        <v>4.9182115594329332</v>
      </c>
      <c r="K22" s="1022">
        <f>K19/'Balance Sheet'!K38</f>
        <v>6.1841359773371103</v>
      </c>
      <c r="L22" s="1022">
        <f>L19/'Balance Sheet'!L38</f>
        <v>6.7568407960199002</v>
      </c>
      <c r="M22" s="940" t="s">
        <v>773</v>
      </c>
    </row>
    <row r="23" spans="2:22" ht="19.5" customHeight="1" thickBot="1">
      <c r="B23" s="1020" t="s">
        <v>833</v>
      </c>
      <c r="C23" s="1021">
        <f>'Actual IS'!C67</f>
        <v>1.36</v>
      </c>
      <c r="D23" s="1021">
        <f>'Actual IS'!D67</f>
        <v>1.4</v>
      </c>
      <c r="E23" s="1021">
        <f>'Actual IS'!E67</f>
        <v>1.44</v>
      </c>
      <c r="F23" s="1021">
        <f>'Actual IS'!F67</f>
        <v>1.56</v>
      </c>
      <c r="G23" s="1021">
        <f>'Actual IS'!G67</f>
        <v>1.72</v>
      </c>
      <c r="H23" s="1021">
        <f>'Actual IS'!H67</f>
        <v>1</v>
      </c>
      <c r="I23" s="1021">
        <f>'Actual IS'!I67</f>
        <v>1.1599999999999999</v>
      </c>
      <c r="J23" s="1021">
        <f>'Actual IS'!J67</f>
        <v>1.32</v>
      </c>
      <c r="K23" s="1021">
        <f>'Actual IS'!K67</f>
        <v>1.4</v>
      </c>
      <c r="L23" s="1021">
        <f>'Actual IS'!L67</f>
        <v>1.48</v>
      </c>
      <c r="M23" s="1020" t="s">
        <v>832</v>
      </c>
    </row>
    <row r="24" spans="2:22">
      <c r="B24" s="1019"/>
      <c r="C24" s="1018"/>
      <c r="D24" s="1018"/>
      <c r="E24" s="1018"/>
      <c r="F24" s="1018"/>
      <c r="G24" s="1018"/>
      <c r="H24" s="1018"/>
      <c r="I24" s="1018"/>
      <c r="J24" s="1018"/>
      <c r="K24" s="1018"/>
      <c r="L24" s="1018"/>
      <c r="M24" s="1017"/>
    </row>
    <row r="25" spans="2:22" ht="15.75">
      <c r="B25" s="1286" t="s">
        <v>831</v>
      </c>
      <c r="C25" s="1287"/>
      <c r="D25" s="1287"/>
      <c r="E25" s="1287"/>
      <c r="F25" s="1287"/>
      <c r="G25" s="1287"/>
      <c r="H25" s="1287"/>
      <c r="I25" s="1287"/>
      <c r="J25" s="1287"/>
      <c r="K25" s="1287"/>
      <c r="L25" s="1287"/>
      <c r="M25" s="1288"/>
    </row>
    <row r="26" spans="2:22" ht="15.75">
      <c r="B26" s="1016" t="s">
        <v>830</v>
      </c>
      <c r="C26" s="1015"/>
      <c r="D26" s="1015"/>
      <c r="E26" s="1015"/>
      <c r="F26" s="1015"/>
      <c r="G26" s="1015"/>
      <c r="H26" s="1015"/>
      <c r="I26" s="1015"/>
      <c r="J26" s="71"/>
      <c r="K26" s="71"/>
      <c r="L26" s="533"/>
      <c r="M26" s="1014"/>
    </row>
    <row r="27" spans="2:22" ht="15.75">
      <c r="B27" s="1016" t="s">
        <v>829</v>
      </c>
      <c r="C27" s="1015"/>
      <c r="D27" s="1015"/>
      <c r="E27" s="1015"/>
      <c r="F27" s="1015"/>
      <c r="G27" s="1015"/>
      <c r="H27" s="1015"/>
      <c r="I27" s="1015"/>
      <c r="J27" s="1015"/>
      <c r="K27" s="1015"/>
      <c r="L27" s="1015"/>
      <c r="M27" s="1014"/>
    </row>
    <row r="28" spans="2:22" ht="16.5" thickBot="1">
      <c r="B28" s="1013" t="s">
        <v>828</v>
      </c>
      <c r="C28" s="1012"/>
      <c r="D28" s="1012"/>
      <c r="E28" s="1012"/>
      <c r="F28" s="1012"/>
      <c r="G28" s="1012"/>
      <c r="H28" s="1012"/>
      <c r="I28" s="1012"/>
      <c r="J28" s="1012"/>
      <c r="K28" s="1012"/>
      <c r="L28" s="1012"/>
      <c r="M28" s="1011"/>
    </row>
    <row r="32" spans="2:22">
      <c r="C32" s="1010"/>
    </row>
    <row r="33" spans="3:12">
      <c r="L33" s="1009"/>
    </row>
    <row r="38" spans="3:12">
      <c r="C38" s="947"/>
      <c r="D38" s="947"/>
      <c r="E38" s="947"/>
      <c r="F38" s="947"/>
      <c r="G38" s="947"/>
      <c r="H38" s="947"/>
      <c r="I38" s="947"/>
      <c r="J38" s="947"/>
      <c r="K38" s="947"/>
      <c r="L38" s="1008"/>
    </row>
  </sheetData>
  <customSheetViews>
    <customSheetView guid="{5A4827F7-D52D-44AD-B257-2AB13F875B96}" scale="75">
      <selection activeCell="L24" sqref="L24"/>
      <pageMargins left="0.25" right="0.25" top="1" bottom="1" header="0.5" footer="0.5"/>
      <printOptions horizontalCentered="1"/>
      <pageSetup scale="110" orientation="landscape" r:id="rId1"/>
      <headerFooter alignWithMargins="0"/>
    </customSheetView>
  </customSheetViews>
  <mergeCells count="4">
    <mergeCell ref="B3:M3"/>
    <mergeCell ref="B4:M4"/>
    <mergeCell ref="B5:M5"/>
    <mergeCell ref="B25:M25"/>
  </mergeCells>
  <printOptions horizontalCentered="1"/>
  <pageMargins left="0.25" right="0.25" top="1" bottom="1" header="0.5" footer="0.5"/>
  <pageSetup scale="110" orientation="landscape"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M153"/>
  <sheetViews>
    <sheetView zoomScale="85" zoomScaleNormal="85" workbookViewId="0">
      <pane xSplit="2" ySplit="13" topLeftCell="C14" activePane="bottomRight" state="frozen"/>
      <selection activeCell="B8" sqref="B8"/>
      <selection pane="topRight" activeCell="B8" sqref="B8"/>
      <selection pane="bottomLeft" activeCell="B8" sqref="B8"/>
      <selection pane="bottomRight" activeCell="L66" sqref="K66:L66"/>
    </sheetView>
  </sheetViews>
  <sheetFormatPr defaultColWidth="9.1796875" defaultRowHeight="14.75"/>
  <cols>
    <col min="1" max="1" width="27.1796875" style="679" customWidth="1"/>
    <col min="2" max="2" width="21" style="653" hidden="1" customWidth="1"/>
    <col min="3" max="4" width="9.5" style="653" bestFit="1" customWidth="1"/>
    <col min="5" max="9" width="8.6796875" style="653" bestFit="1" customWidth="1"/>
    <col min="10" max="10" width="8.5" style="653" bestFit="1" customWidth="1"/>
    <col min="11" max="11" width="12" style="653" bestFit="1" customWidth="1"/>
    <col min="12" max="12" width="17.31640625" style="678" customWidth="1"/>
    <col min="13" max="16384" width="9.1796875" style="653"/>
  </cols>
  <sheetData>
    <row r="1" spans="1:13">
      <c r="A1" s="679" t="s">
        <v>518</v>
      </c>
      <c r="B1" s="653" t="s">
        <v>517</v>
      </c>
      <c r="C1" s="653" t="e">
        <v>#NAME?</v>
      </c>
    </row>
    <row r="2" spans="1:13">
      <c r="A2" s="679" t="s">
        <v>516</v>
      </c>
      <c r="B2" s="653" t="s">
        <v>515</v>
      </c>
    </row>
    <row r="3" spans="1:13">
      <c r="A3" s="679" t="s">
        <v>514</v>
      </c>
      <c r="B3" s="653" t="s">
        <v>513</v>
      </c>
    </row>
    <row r="4" spans="1:13">
      <c r="A4" s="679" t="s">
        <v>512</v>
      </c>
      <c r="B4" s="677">
        <v>36526</v>
      </c>
    </row>
    <row r="5" spans="1:13">
      <c r="A5" s="679" t="s">
        <v>511</v>
      </c>
      <c r="B5" s="677">
        <v>40568</v>
      </c>
    </row>
    <row r="6" spans="1:13">
      <c r="A6" s="679" t="s">
        <v>510</v>
      </c>
      <c r="B6" s="653" t="s">
        <v>509</v>
      </c>
    </row>
    <row r="7" spans="1:13">
      <c r="A7" s="679" t="s">
        <v>508</v>
      </c>
      <c r="B7" s="653" t="s">
        <v>507</v>
      </c>
    </row>
    <row r="8" spans="1:13">
      <c r="A8" s="679" t="s">
        <v>506</v>
      </c>
      <c r="B8" s="653" t="s">
        <v>505</v>
      </c>
    </row>
    <row r="9" spans="1:13">
      <c r="A9" s="679" t="s">
        <v>504</v>
      </c>
      <c r="B9" s="653" t="s">
        <v>503</v>
      </c>
    </row>
    <row r="10" spans="1:13">
      <c r="A10" s="679" t="s">
        <v>502</v>
      </c>
      <c r="B10" s="653" t="s">
        <v>501</v>
      </c>
    </row>
    <row r="12" spans="1:13">
      <c r="A12" s="679" t="s">
        <v>500</v>
      </c>
      <c r="B12" s="653" t="s">
        <v>499</v>
      </c>
      <c r="C12" s="653" t="s">
        <v>498</v>
      </c>
      <c r="D12" s="653" t="s">
        <v>497</v>
      </c>
      <c r="E12" s="653" t="s">
        <v>496</v>
      </c>
      <c r="F12" s="653" t="s">
        <v>495</v>
      </c>
      <c r="G12" s="653" t="s">
        <v>494</v>
      </c>
      <c r="H12" s="653" t="s">
        <v>493</v>
      </c>
      <c r="I12" s="653" t="s">
        <v>492</v>
      </c>
      <c r="J12" s="653" t="s">
        <v>491</v>
      </c>
      <c r="K12" s="653" t="s">
        <v>490</v>
      </c>
      <c r="L12" s="704">
        <v>2010</v>
      </c>
      <c r="M12" s="665"/>
    </row>
    <row r="13" spans="1:13">
      <c r="A13" s="679" t="s">
        <v>489</v>
      </c>
      <c r="B13" s="653" t="s">
        <v>487</v>
      </c>
      <c r="C13" s="653" t="s">
        <v>488</v>
      </c>
      <c r="D13" s="653" t="s">
        <v>488</v>
      </c>
      <c r="E13" s="653" t="s">
        <v>487</v>
      </c>
      <c r="F13" s="653" t="s">
        <v>487</v>
      </c>
      <c r="G13" s="653" t="s">
        <v>487</v>
      </c>
      <c r="H13" s="653" t="s">
        <v>487</v>
      </c>
      <c r="I13" s="653" t="s">
        <v>487</v>
      </c>
      <c r="J13" s="653" t="s">
        <v>487</v>
      </c>
      <c r="K13" s="653" t="s">
        <v>487</v>
      </c>
      <c r="L13" s="704" t="s">
        <v>629</v>
      </c>
    </row>
    <row r="14" spans="1:13">
      <c r="A14" s="700" t="s">
        <v>628</v>
      </c>
    </row>
    <row r="15" spans="1:13">
      <c r="A15" s="679" t="s">
        <v>627</v>
      </c>
    </row>
    <row r="16" spans="1:13">
      <c r="A16" s="679" t="s">
        <v>626</v>
      </c>
      <c r="B16" s="653">
        <v>96.9</v>
      </c>
      <c r="C16" s="653">
        <v>114</v>
      </c>
      <c r="D16" s="653">
        <v>23.8</v>
      </c>
    </row>
    <row r="17" spans="1:12">
      <c r="A17" s="700" t="s">
        <v>310</v>
      </c>
      <c r="B17" s="653">
        <v>6145.9</v>
      </c>
      <c r="C17" s="653">
        <v>6656.4</v>
      </c>
      <c r="D17" s="653">
        <v>8085.3</v>
      </c>
      <c r="E17" s="653">
        <v>10182.5</v>
      </c>
      <c r="F17" s="653">
        <v>11635.7</v>
      </c>
      <c r="G17" s="653">
        <v>12176</v>
      </c>
      <c r="H17" s="653">
        <v>11958</v>
      </c>
      <c r="I17" s="653">
        <v>11946</v>
      </c>
      <c r="J17" s="653">
        <v>11828</v>
      </c>
      <c r="K17" s="653">
        <v>11331</v>
      </c>
      <c r="L17" s="699">
        <f>'2010 Q IS'!AQ20</f>
        <v>11215</v>
      </c>
    </row>
    <row r="18" spans="1:12">
      <c r="A18" s="679" t="s">
        <v>311</v>
      </c>
      <c r="B18" s="653">
        <v>957.2</v>
      </c>
      <c r="C18" s="653">
        <v>982.8</v>
      </c>
      <c r="D18" s="653">
        <v>997.3</v>
      </c>
      <c r="E18" s="653">
        <v>1118.3</v>
      </c>
      <c r="F18" s="653">
        <v>1256</v>
      </c>
      <c r="G18" s="653">
        <v>1407.7</v>
      </c>
      <c r="H18" s="653">
        <v>1580</v>
      </c>
      <c r="I18" s="653">
        <v>1738</v>
      </c>
      <c r="J18" s="653">
        <v>1732</v>
      </c>
      <c r="K18" s="653">
        <v>1649</v>
      </c>
      <c r="L18" s="696">
        <f>'2010 Q IS'!AQ21</f>
        <v>1809</v>
      </c>
    </row>
    <row r="19" spans="1:12">
      <c r="L19" s="680"/>
    </row>
    <row r="20" spans="1:12">
      <c r="A20" s="679" t="s">
        <v>625</v>
      </c>
      <c r="E20" s="653">
        <v>8.8000000000000007</v>
      </c>
      <c r="F20" s="653">
        <v>67.3</v>
      </c>
      <c r="G20" s="653">
        <v>115.1</v>
      </c>
      <c r="H20" s="653">
        <v>220</v>
      </c>
      <c r="I20" s="653">
        <v>49</v>
      </c>
      <c r="J20" s="653">
        <v>32</v>
      </c>
      <c r="K20" s="653">
        <v>13</v>
      </c>
      <c r="L20" s="696">
        <f>'2010 Q IS'!AQ22</f>
        <v>16</v>
      </c>
    </row>
    <row r="21" spans="1:12">
      <c r="A21" s="679" t="s">
        <v>624</v>
      </c>
      <c r="B21" s="653">
        <v>51.5</v>
      </c>
      <c r="L21" s="680"/>
    </row>
    <row r="22" spans="1:12">
      <c r="A22" s="679" t="s">
        <v>623</v>
      </c>
      <c r="C22" s="653">
        <v>0.8</v>
      </c>
      <c r="D22" s="653">
        <v>33.9</v>
      </c>
      <c r="E22" s="653">
        <v>84.4</v>
      </c>
      <c r="G22" s="653">
        <v>383.5</v>
      </c>
      <c r="H22" s="653">
        <v>245</v>
      </c>
      <c r="I22" s="653">
        <v>374</v>
      </c>
      <c r="L22" s="680"/>
    </row>
    <row r="23" spans="1:12">
      <c r="A23" s="679" t="s">
        <v>622</v>
      </c>
      <c r="F23" s="653">
        <v>218.2</v>
      </c>
      <c r="L23" s="680"/>
    </row>
    <row r="24" spans="1:12">
      <c r="A24" s="679" t="s">
        <v>585</v>
      </c>
      <c r="J24" s="653">
        <v>-371</v>
      </c>
      <c r="L24" s="680">
        <f>'2010 Q IS'!AQ23</f>
        <v>372</v>
      </c>
    </row>
    <row r="25" spans="1:12">
      <c r="A25" s="679" t="s">
        <v>621</v>
      </c>
      <c r="K25" s="653">
        <v>-132</v>
      </c>
      <c r="L25" s="680"/>
    </row>
    <row r="26" spans="1:12">
      <c r="A26" s="679" t="s">
        <v>620</v>
      </c>
      <c r="C26" s="653" t="e">
        <f ca="1">_xll.BDH($B$1,B26,$C$12,$C$12,"FX="&amp;$B$2,"Per=cy","dtfmt=p","FILING_STATUS=MR")</f>
        <v>#NAME?</v>
      </c>
      <c r="K26" s="653">
        <v>135</v>
      </c>
      <c r="L26" s="680"/>
    </row>
    <row r="27" spans="1:12">
      <c r="A27" s="679" t="s">
        <v>619</v>
      </c>
      <c r="K27" s="653">
        <v>20</v>
      </c>
      <c r="L27" s="703"/>
    </row>
    <row r="28" spans="1:12">
      <c r="A28" s="692" t="s">
        <v>618</v>
      </c>
      <c r="B28" s="662">
        <v>7251.5</v>
      </c>
      <c r="C28" s="662">
        <v>7754</v>
      </c>
      <c r="D28" s="662">
        <f t="shared" ref="D28:L28" si="0">SUM(D17:D27)</f>
        <v>9116.5</v>
      </c>
      <c r="E28" s="662">
        <f t="shared" si="0"/>
        <v>11393.999999999998</v>
      </c>
      <c r="F28" s="662">
        <f t="shared" si="0"/>
        <v>13177.2</v>
      </c>
      <c r="G28" s="662">
        <f t="shared" si="0"/>
        <v>14082.300000000001</v>
      </c>
      <c r="H28" s="662">
        <f t="shared" si="0"/>
        <v>14003</v>
      </c>
      <c r="I28" s="662">
        <f t="shared" si="0"/>
        <v>14107</v>
      </c>
      <c r="J28" s="662">
        <f t="shared" si="0"/>
        <v>13221</v>
      </c>
      <c r="K28" s="662">
        <f t="shared" si="0"/>
        <v>13016</v>
      </c>
      <c r="L28" s="702">
        <f t="shared" si="0"/>
        <v>13412</v>
      </c>
    </row>
    <row r="29" spans="1:12">
      <c r="A29" s="690"/>
      <c r="B29" s="659"/>
      <c r="C29" s="659"/>
      <c r="D29" s="659"/>
      <c r="E29" s="659"/>
      <c r="F29" s="659"/>
      <c r="G29" s="659"/>
      <c r="H29" s="659"/>
      <c r="I29" s="659"/>
      <c r="J29" s="659"/>
      <c r="K29" s="659"/>
      <c r="L29" s="701"/>
    </row>
    <row r="30" spans="1:12">
      <c r="A30" s="679" t="s">
        <v>617</v>
      </c>
      <c r="L30" s="680"/>
    </row>
    <row r="31" spans="1:12">
      <c r="A31" s="679" t="s">
        <v>616</v>
      </c>
      <c r="B31" s="653">
        <v>4127.7</v>
      </c>
      <c r="C31" s="653">
        <v>5357.4</v>
      </c>
      <c r="D31" s="653">
        <v>6064.6</v>
      </c>
      <c r="E31" s="653">
        <v>6867.2</v>
      </c>
      <c r="F31" s="653">
        <v>7320.9</v>
      </c>
      <c r="G31" s="653">
        <v>7813.5</v>
      </c>
      <c r="H31" s="653">
        <v>6574</v>
      </c>
      <c r="I31" s="653">
        <v>6299</v>
      </c>
      <c r="J31" s="653">
        <v>6898</v>
      </c>
      <c r="K31" s="653">
        <v>6268</v>
      </c>
      <c r="L31" s="699">
        <f>'2010 Q IS'!AQ31</f>
        <v>6499</v>
      </c>
    </row>
    <row r="32" spans="1:12">
      <c r="A32" s="700" t="s">
        <v>615</v>
      </c>
      <c r="B32" s="653">
        <v>1645.4</v>
      </c>
      <c r="C32" s="653">
        <v>1771.4</v>
      </c>
      <c r="D32" s="653">
        <v>2077.8000000000002</v>
      </c>
      <c r="E32" s="653">
        <v>2535.6</v>
      </c>
      <c r="F32" s="653">
        <v>2843.3</v>
      </c>
      <c r="G32" s="653">
        <v>2930.4</v>
      </c>
      <c r="H32" s="653">
        <v>2919</v>
      </c>
      <c r="I32" s="653">
        <v>3092</v>
      </c>
      <c r="J32" s="653">
        <v>3123</v>
      </c>
      <c r="K32" s="653">
        <v>3021</v>
      </c>
      <c r="L32" s="699">
        <f>'2010 Q IS'!AQ32</f>
        <v>3496</v>
      </c>
    </row>
    <row r="33" spans="1:13">
      <c r="A33" s="679" t="s">
        <v>614</v>
      </c>
      <c r="B33" s="653">
        <v>448.6</v>
      </c>
      <c r="C33" s="653">
        <v>483.4</v>
      </c>
      <c r="D33" s="653">
        <v>594.1</v>
      </c>
      <c r="E33" s="653">
        <v>704.7</v>
      </c>
      <c r="F33" s="653">
        <v>630.1</v>
      </c>
      <c r="G33" s="653">
        <v>512.1</v>
      </c>
      <c r="H33" s="653">
        <v>550</v>
      </c>
      <c r="I33" s="653">
        <v>444</v>
      </c>
      <c r="J33" s="653">
        <v>441</v>
      </c>
      <c r="K33" s="653">
        <v>416</v>
      </c>
      <c r="L33" s="696">
        <f>'2010 Q IS'!AQ33</f>
        <v>422</v>
      </c>
    </row>
    <row r="34" spans="1:13">
      <c r="A34" s="679" t="s">
        <v>613</v>
      </c>
      <c r="B34" s="653">
        <v>13.7</v>
      </c>
      <c r="C34" s="653">
        <v>14.1</v>
      </c>
      <c r="D34" s="653">
        <v>24.7</v>
      </c>
      <c r="E34" s="653">
        <v>29</v>
      </c>
      <c r="F34" s="653">
        <v>24.7</v>
      </c>
      <c r="G34" s="653">
        <v>29.2</v>
      </c>
      <c r="H34" s="653">
        <v>34</v>
      </c>
      <c r="I34" s="653">
        <v>35</v>
      </c>
      <c r="J34" s="653">
        <v>32</v>
      </c>
      <c r="K34" s="653">
        <v>39</v>
      </c>
      <c r="L34" s="696">
        <f>'2010 Q IS'!AQ35</f>
        <v>39</v>
      </c>
    </row>
    <row r="35" spans="1:13">
      <c r="A35" s="679" t="s">
        <v>612</v>
      </c>
      <c r="B35" s="653">
        <v>87.9</v>
      </c>
      <c r="C35" s="653">
        <v>110.1</v>
      </c>
      <c r="D35" s="653">
        <v>101.4</v>
      </c>
      <c r="E35" s="653">
        <v>150.4</v>
      </c>
      <c r="F35" s="653">
        <v>110.9</v>
      </c>
      <c r="G35" s="653">
        <v>160.69999999999999</v>
      </c>
      <c r="H35" s="653">
        <v>207</v>
      </c>
      <c r="I35" s="653">
        <v>48</v>
      </c>
      <c r="J35" s="653">
        <v>36</v>
      </c>
      <c r="K35" s="653">
        <v>16</v>
      </c>
      <c r="L35" s="680">
        <f>VLOOKUP($A35,'2010 Q IS'!$A39:$AQ167,43,FALSE)</f>
        <v>18</v>
      </c>
    </row>
    <row r="36" spans="1:13">
      <c r="A36" s="679" t="s">
        <v>611</v>
      </c>
      <c r="B36" s="653">
        <v>77.2</v>
      </c>
      <c r="C36" s="653">
        <v>83.6</v>
      </c>
      <c r="D36" s="653">
        <v>109.3</v>
      </c>
      <c r="E36" s="653">
        <v>173.5</v>
      </c>
      <c r="F36" s="653">
        <v>179.1</v>
      </c>
      <c r="G36" s="653">
        <v>189.4</v>
      </c>
      <c r="H36" s="653">
        <v>194</v>
      </c>
      <c r="I36" s="653">
        <v>252</v>
      </c>
      <c r="J36" s="653">
        <v>284</v>
      </c>
      <c r="K36" s="653">
        <v>294</v>
      </c>
      <c r="L36" s="696">
        <f>'2010 Q IS'!AQ44</f>
        <v>291</v>
      </c>
    </row>
    <row r="37" spans="1:13">
      <c r="A37" s="692" t="s">
        <v>610</v>
      </c>
      <c r="B37" s="662">
        <v>6400.5</v>
      </c>
      <c r="C37" s="662">
        <f t="shared" ref="C37:L37" si="1">SUM(C31:C36)</f>
        <v>7820</v>
      </c>
      <c r="D37" s="662">
        <f t="shared" si="1"/>
        <v>8971.9</v>
      </c>
      <c r="E37" s="662">
        <f t="shared" si="1"/>
        <v>10460.4</v>
      </c>
      <c r="F37" s="662">
        <f t="shared" si="1"/>
        <v>11109.000000000002</v>
      </c>
      <c r="G37" s="662">
        <f t="shared" si="1"/>
        <v>11635.300000000001</v>
      </c>
      <c r="H37" s="662">
        <f t="shared" si="1"/>
        <v>10478</v>
      </c>
      <c r="I37" s="662">
        <f t="shared" si="1"/>
        <v>10170</v>
      </c>
      <c r="J37" s="662">
        <f t="shared" si="1"/>
        <v>10814</v>
      </c>
      <c r="K37" s="662">
        <f t="shared" si="1"/>
        <v>10054</v>
      </c>
      <c r="L37" s="698">
        <f t="shared" si="1"/>
        <v>10765</v>
      </c>
      <c r="M37" s="654">
        <f>L28-L37</f>
        <v>2647</v>
      </c>
    </row>
    <row r="38" spans="1:13">
      <c r="A38" s="690"/>
      <c r="B38" s="659"/>
      <c r="C38" s="659"/>
      <c r="D38" s="659"/>
      <c r="E38" s="659"/>
      <c r="F38" s="659"/>
      <c r="G38" s="659"/>
      <c r="H38" s="659"/>
      <c r="I38" s="659"/>
      <c r="J38" s="659"/>
      <c r="K38" s="659"/>
      <c r="L38" s="697"/>
    </row>
    <row r="39" spans="1:13">
      <c r="A39" s="679" t="s">
        <v>609</v>
      </c>
      <c r="C39" s="653">
        <v>-66</v>
      </c>
      <c r="D39" s="653">
        <v>168.4</v>
      </c>
      <c r="E39" s="653">
        <v>933.6</v>
      </c>
      <c r="F39" s="653">
        <v>2068.1999999999998</v>
      </c>
      <c r="G39" s="653">
        <v>2447</v>
      </c>
      <c r="H39" s="653">
        <v>3525</v>
      </c>
      <c r="I39" s="653">
        <v>3937</v>
      </c>
      <c r="J39" s="653">
        <v>2407</v>
      </c>
      <c r="K39" s="653">
        <f>K28-K37</f>
        <v>2962</v>
      </c>
      <c r="L39" s="696">
        <f>'2010 Q IS'!AQ46</f>
        <v>2915</v>
      </c>
    </row>
    <row r="40" spans="1:13">
      <c r="A40" s="679" t="s">
        <v>608</v>
      </c>
      <c r="L40" s="680"/>
    </row>
    <row r="41" spans="1:13">
      <c r="A41" s="679" t="s">
        <v>607</v>
      </c>
      <c r="B41" s="653">
        <v>136.4</v>
      </c>
      <c r="C41" s="653">
        <v>-177.5</v>
      </c>
      <c r="D41" s="653">
        <v>-54.5</v>
      </c>
      <c r="E41" s="653">
        <v>124.8</v>
      </c>
      <c r="F41" s="653">
        <v>519.79999999999995</v>
      </c>
      <c r="G41" s="653">
        <v>621.1</v>
      </c>
      <c r="H41" s="653">
        <v>997</v>
      </c>
      <c r="I41" s="653">
        <v>1130</v>
      </c>
      <c r="J41" s="653">
        <v>603</v>
      </c>
      <c r="K41" s="653">
        <v>779</v>
      </c>
      <c r="L41" s="695">
        <v>742</v>
      </c>
    </row>
    <row r="42" spans="1:13">
      <c r="A42" s="679" t="s">
        <v>606</v>
      </c>
      <c r="L42" s="680"/>
    </row>
    <row r="43" spans="1:13">
      <c r="A43" s="679" t="s">
        <v>605</v>
      </c>
      <c r="F43" s="653">
        <v>1.56</v>
      </c>
      <c r="L43" s="680"/>
    </row>
    <row r="44" spans="1:13">
      <c r="A44" s="679" t="s">
        <v>604</v>
      </c>
      <c r="F44" s="653">
        <v>298.2</v>
      </c>
    </row>
    <row r="45" spans="1:13">
      <c r="A45" s="679" t="s">
        <v>603</v>
      </c>
      <c r="B45" s="653">
        <v>4.0999999999999996</v>
      </c>
      <c r="C45" s="653">
        <v>0.65</v>
      </c>
      <c r="D45" s="653">
        <v>1.31</v>
      </c>
      <c r="E45" s="653">
        <v>4.51</v>
      </c>
      <c r="F45" s="653">
        <v>8.15</v>
      </c>
      <c r="G45" s="653">
        <v>9.2100000000000009</v>
      </c>
      <c r="H45" s="653">
        <v>6.13</v>
      </c>
      <c r="I45" s="653">
        <v>7.13</v>
      </c>
      <c r="J45" s="653">
        <v>5</v>
      </c>
      <c r="K45" s="653">
        <v>6.24</v>
      </c>
      <c r="L45" s="694">
        <f>VLOOKUP($A45,'2010 Q IS'!$A49:$AQ177,43,FALSE)</f>
        <v>0</v>
      </c>
    </row>
    <row r="46" spans="1:13">
      <c r="A46" s="679" t="s">
        <v>602</v>
      </c>
      <c r="B46" s="653">
        <v>4.01</v>
      </c>
      <c r="C46" s="653">
        <v>0.63</v>
      </c>
      <c r="D46" s="653">
        <v>1.29</v>
      </c>
      <c r="E46" s="653">
        <v>4.46</v>
      </c>
      <c r="F46" s="653">
        <v>8.01</v>
      </c>
      <c r="G46" s="653">
        <v>8.94</v>
      </c>
      <c r="H46" s="653">
        <v>5.98</v>
      </c>
      <c r="I46" s="653">
        <v>7.01</v>
      </c>
      <c r="J46" s="653">
        <v>4.92</v>
      </c>
      <c r="K46" s="653">
        <v>6.18</v>
      </c>
      <c r="L46" s="693">
        <v>6.76</v>
      </c>
    </row>
    <row r="47" spans="1:13">
      <c r="A47" s="692" t="s">
        <v>601</v>
      </c>
      <c r="B47" s="662">
        <v>714.6</v>
      </c>
      <c r="C47" s="662">
        <v>111.5</v>
      </c>
      <c r="D47" s="662">
        <v>222.9</v>
      </c>
      <c r="E47" s="662">
        <v>808.8</v>
      </c>
      <c r="F47" s="662">
        <v>1548.4</v>
      </c>
      <c r="G47" s="662">
        <v>1825.9</v>
      </c>
      <c r="H47" s="662">
        <v>2528</v>
      </c>
      <c r="I47" s="662">
        <v>2807</v>
      </c>
      <c r="J47" s="662">
        <v>1804</v>
      </c>
      <c r="K47" s="662">
        <v>2183</v>
      </c>
      <c r="L47" s="691">
        <f>L39-L41</f>
        <v>2173</v>
      </c>
    </row>
    <row r="48" spans="1:13">
      <c r="A48" s="690"/>
      <c r="B48" s="659"/>
      <c r="C48" s="659"/>
      <c r="D48" s="659"/>
      <c r="E48" s="659"/>
      <c r="F48" s="659"/>
      <c r="G48" s="659"/>
      <c r="H48" s="659"/>
      <c r="I48" s="659"/>
      <c r="J48" s="659"/>
      <c r="K48" s="659"/>
      <c r="L48" s="689"/>
    </row>
    <row r="49" spans="1:12">
      <c r="A49" s="679" t="s">
        <v>600</v>
      </c>
    </row>
    <row r="50" spans="1:12">
      <c r="A50" s="679" t="s">
        <v>599</v>
      </c>
      <c r="G50" s="653">
        <v>-313.8</v>
      </c>
      <c r="H50" s="653">
        <v>81</v>
      </c>
      <c r="L50" s="680"/>
    </row>
    <row r="51" spans="1:12">
      <c r="A51" s="679" t="s">
        <v>598</v>
      </c>
      <c r="G51" s="653">
        <v>-22.3</v>
      </c>
      <c r="H51" s="653">
        <v>34</v>
      </c>
      <c r="L51" s="680"/>
    </row>
    <row r="52" spans="1:12">
      <c r="A52" s="679" t="s">
        <v>564</v>
      </c>
      <c r="G52" s="653">
        <v>1489.8</v>
      </c>
      <c r="H52" s="653">
        <v>2643</v>
      </c>
      <c r="L52" s="680"/>
    </row>
    <row r="53" spans="1:12">
      <c r="A53" s="679" t="s">
        <v>426</v>
      </c>
    </row>
    <row r="54" spans="1:12">
      <c r="A54" s="679" t="s">
        <v>597</v>
      </c>
      <c r="K54" s="653">
        <v>0</v>
      </c>
    </row>
    <row r="55" spans="1:12">
      <c r="A55" s="679" t="s">
        <v>596</v>
      </c>
      <c r="K55" s="653">
        <v>0</v>
      </c>
    </row>
    <row r="56" spans="1:12">
      <c r="A56" s="679" t="s">
        <v>595</v>
      </c>
      <c r="K56" s="653">
        <v>0</v>
      </c>
    </row>
    <row r="57" spans="1:12">
      <c r="A57" s="679" t="s">
        <v>594</v>
      </c>
      <c r="B57" s="653">
        <v>669.6</v>
      </c>
      <c r="C57" s="653">
        <v>65.7</v>
      </c>
      <c r="D57" s="653">
        <v>168.4</v>
      </c>
      <c r="E57" s="653">
        <v>808.8</v>
      </c>
      <c r="F57" s="653">
        <v>1548.4</v>
      </c>
    </row>
    <row r="58" spans="1:12">
      <c r="A58" s="679" t="s">
        <v>593</v>
      </c>
      <c r="B58" s="653">
        <v>3.76</v>
      </c>
      <c r="C58" s="653">
        <v>0.37</v>
      </c>
      <c r="D58" s="653">
        <v>0.97</v>
      </c>
      <c r="E58" s="653">
        <v>4.46</v>
      </c>
      <c r="F58" s="653">
        <v>8.01</v>
      </c>
    </row>
    <row r="59" spans="1:12">
      <c r="A59" s="679" t="s">
        <v>592</v>
      </c>
      <c r="B59" s="653">
        <v>594.1</v>
      </c>
    </row>
    <row r="60" spans="1:12">
      <c r="A60" s="679" t="s">
        <v>591</v>
      </c>
      <c r="B60" s="653">
        <v>396.4</v>
      </c>
      <c r="C60" s="653">
        <v>431.1</v>
      </c>
      <c r="D60" s="653">
        <v>568.79999999999995</v>
      </c>
      <c r="E60" s="653">
        <v>675.2</v>
      </c>
    </row>
    <row r="61" spans="1:12">
      <c r="A61" s="679" t="s">
        <v>590</v>
      </c>
      <c r="J61" s="653">
        <v>0</v>
      </c>
    </row>
    <row r="62" spans="1:12">
      <c r="A62" s="679" t="s">
        <v>589</v>
      </c>
      <c r="J62" s="653">
        <v>0</v>
      </c>
    </row>
    <row r="63" spans="1:12">
      <c r="A63" s="679" t="s">
        <v>588</v>
      </c>
      <c r="J63" s="653">
        <v>0</v>
      </c>
    </row>
    <row r="64" spans="1:12">
      <c r="A64" s="679" t="s">
        <v>587</v>
      </c>
      <c r="J64" s="653">
        <v>0</v>
      </c>
    </row>
    <row r="65" spans="1:12">
      <c r="A65" s="679" t="s">
        <v>586</v>
      </c>
      <c r="B65" s="653">
        <v>-23.6</v>
      </c>
      <c r="C65" s="653">
        <v>-903.5</v>
      </c>
      <c r="D65" s="653">
        <v>-625.9</v>
      </c>
      <c r="E65" s="653">
        <v>104.5</v>
      </c>
      <c r="I65" s="653">
        <v>2116</v>
      </c>
      <c r="K65" s="653">
        <v>1631</v>
      </c>
    </row>
    <row r="66" spans="1:12">
      <c r="A66" s="679" t="s">
        <v>585</v>
      </c>
      <c r="B66" s="653">
        <v>51.5</v>
      </c>
      <c r="C66" s="653">
        <v>0.8</v>
      </c>
      <c r="D66" s="653">
        <v>33.9</v>
      </c>
      <c r="E66" s="653">
        <v>84.4</v>
      </c>
      <c r="G66" s="653">
        <v>383.5</v>
      </c>
      <c r="H66" s="653">
        <v>245</v>
      </c>
      <c r="I66" s="653">
        <v>374</v>
      </c>
      <c r="J66" s="653">
        <v>-371</v>
      </c>
    </row>
    <row r="67" spans="1:12">
      <c r="A67" s="679" t="s">
        <v>584</v>
      </c>
      <c r="B67" s="653">
        <v>1.32</v>
      </c>
      <c r="C67" s="653">
        <v>1.36</v>
      </c>
      <c r="D67" s="653">
        <v>1.4</v>
      </c>
      <c r="E67" s="653">
        <v>1.44</v>
      </c>
      <c r="F67" s="653">
        <v>1.56</v>
      </c>
      <c r="G67" s="653">
        <v>1.72</v>
      </c>
      <c r="H67" s="653">
        <v>1</v>
      </c>
      <c r="I67" s="653">
        <v>1.1599999999999999</v>
      </c>
      <c r="J67" s="653">
        <v>1.32</v>
      </c>
      <c r="K67" s="653">
        <v>1.4</v>
      </c>
      <c r="L67" s="678">
        <v>1.48</v>
      </c>
    </row>
    <row r="68" spans="1:12">
      <c r="A68" s="679" t="s">
        <v>583</v>
      </c>
      <c r="B68" s="653">
        <v>126.3</v>
      </c>
      <c r="C68" s="653">
        <v>137</v>
      </c>
      <c r="D68" s="653">
        <v>155</v>
      </c>
    </row>
    <row r="69" spans="1:12">
      <c r="A69" s="679" t="s">
        <v>582</v>
      </c>
      <c r="B69" s="653">
        <v>187.3</v>
      </c>
      <c r="C69" s="653">
        <v>305.10000000000002</v>
      </c>
      <c r="D69" s="653">
        <v>962</v>
      </c>
      <c r="E69" s="653">
        <v>885.4</v>
      </c>
      <c r="I69" s="653">
        <v>74</v>
      </c>
      <c r="J69" s="653">
        <v>46</v>
      </c>
      <c r="K69" s="653">
        <v>254</v>
      </c>
    </row>
    <row r="70" spans="1:12">
      <c r="A70" s="687" t="s">
        <v>581</v>
      </c>
      <c r="B70" s="686">
        <v>67.5</v>
      </c>
      <c r="C70" s="686">
        <v>80.8</v>
      </c>
      <c r="D70" s="686">
        <v>75.400000000000006</v>
      </c>
      <c r="E70" s="686">
        <v>67.599999999999994</v>
      </c>
      <c r="F70" s="686">
        <v>63.1</v>
      </c>
      <c r="G70" s="686">
        <v>64.3</v>
      </c>
      <c r="H70" s="686">
        <v>55.2</v>
      </c>
      <c r="I70" s="686">
        <v>52.8</v>
      </c>
      <c r="J70" s="686">
        <v>58.5</v>
      </c>
      <c r="K70" s="686">
        <v>55.4</v>
      </c>
      <c r="L70" s="688">
        <v>58.1</v>
      </c>
    </row>
    <row r="71" spans="1:12">
      <c r="A71" s="687" t="s">
        <v>580</v>
      </c>
      <c r="B71" s="686">
        <v>32.9</v>
      </c>
      <c r="C71" s="686">
        <v>32.6</v>
      </c>
      <c r="D71" s="686">
        <v>31.3</v>
      </c>
      <c r="E71" s="686">
        <v>30.4</v>
      </c>
      <c r="F71" s="686">
        <v>29.2</v>
      </c>
      <c r="G71" s="686">
        <v>28</v>
      </c>
      <c r="H71" s="686">
        <v>29</v>
      </c>
      <c r="I71" s="686">
        <v>30.1</v>
      </c>
      <c r="J71" s="686">
        <v>30.2</v>
      </c>
      <c r="K71" s="686">
        <v>30.6</v>
      </c>
      <c r="L71" s="688">
        <v>31.2</v>
      </c>
    </row>
    <row r="72" spans="1:12">
      <c r="A72" s="687"/>
      <c r="B72" s="686"/>
      <c r="C72" s="686"/>
      <c r="D72" s="686"/>
      <c r="E72" s="686"/>
      <c r="F72" s="686"/>
      <c r="G72" s="686"/>
      <c r="H72" s="686"/>
      <c r="I72" s="686"/>
      <c r="J72" s="686"/>
      <c r="K72" s="686"/>
    </row>
    <row r="73" spans="1:12">
      <c r="A73" s="687" t="s">
        <v>579</v>
      </c>
      <c r="B73" s="686">
        <v>100.4</v>
      </c>
      <c r="C73" s="686">
        <v>113.4</v>
      </c>
      <c r="D73" s="686">
        <v>106.7</v>
      </c>
      <c r="E73" s="686">
        <v>98</v>
      </c>
      <c r="F73" s="686">
        <v>92.3</v>
      </c>
      <c r="G73" s="686">
        <v>92.3</v>
      </c>
      <c r="H73" s="686">
        <v>84.2</v>
      </c>
      <c r="I73" s="686">
        <v>82.9</v>
      </c>
      <c r="J73" s="686">
        <v>88.7</v>
      </c>
      <c r="K73" s="686">
        <v>86</v>
      </c>
    </row>
    <row r="74" spans="1:12">
      <c r="A74" s="679" t="s">
        <v>578</v>
      </c>
      <c r="B74" s="653">
        <v>72</v>
      </c>
      <c r="C74" s="653">
        <v>114</v>
      </c>
      <c r="E74" s="653">
        <v>294</v>
      </c>
      <c r="F74" s="653">
        <v>350</v>
      </c>
      <c r="G74" s="653">
        <v>630</v>
      </c>
      <c r="H74" s="653">
        <v>173</v>
      </c>
      <c r="I74" s="653">
        <v>363</v>
      </c>
      <c r="J74" s="653">
        <v>607</v>
      </c>
      <c r="K74" s="653">
        <v>91</v>
      </c>
    </row>
    <row r="75" spans="1:12">
      <c r="A75" s="679" t="s">
        <v>577</v>
      </c>
      <c r="B75" s="653">
        <v>332.7</v>
      </c>
    </row>
    <row r="76" spans="1:12">
      <c r="A76" s="679" t="s">
        <v>576</v>
      </c>
      <c r="C76" s="653">
        <v>32.5</v>
      </c>
    </row>
    <row r="77" spans="1:12">
      <c r="A77" s="679" t="s">
        <v>575</v>
      </c>
      <c r="D77" s="653">
        <v>332.9</v>
      </c>
    </row>
    <row r="78" spans="1:12">
      <c r="A78" s="679" t="s">
        <v>574</v>
      </c>
      <c r="E78" s="653">
        <v>88.1</v>
      </c>
    </row>
    <row r="79" spans="1:12">
      <c r="A79" s="679" t="s">
        <v>573</v>
      </c>
      <c r="F79" s="653">
        <v>-49.1</v>
      </c>
    </row>
    <row r="80" spans="1:12">
      <c r="A80" s="679" t="s">
        <v>572</v>
      </c>
      <c r="G80" s="653">
        <v>-313.8</v>
      </c>
    </row>
    <row r="81" spans="1:12">
      <c r="A81" s="679" t="s">
        <v>571</v>
      </c>
      <c r="H81" s="653">
        <v>106</v>
      </c>
    </row>
    <row r="82" spans="1:12">
      <c r="A82" s="679" t="s">
        <v>570</v>
      </c>
      <c r="I82" s="653">
        <v>134</v>
      </c>
    </row>
    <row r="83" spans="1:12">
      <c r="A83" s="679" t="s">
        <v>569</v>
      </c>
      <c r="J83" s="653">
        <v>-669</v>
      </c>
    </row>
    <row r="84" spans="1:12">
      <c r="A84" s="679" t="s">
        <v>568</v>
      </c>
      <c r="K84" s="653">
        <v>-6</v>
      </c>
    </row>
    <row r="85" spans="1:12">
      <c r="A85" s="679" t="s">
        <v>567</v>
      </c>
      <c r="K85" s="653">
        <v>1223</v>
      </c>
    </row>
    <row r="86" spans="1:12">
      <c r="A86" s="679" t="s">
        <v>566</v>
      </c>
      <c r="B86" s="653">
        <v>-23.7</v>
      </c>
      <c r="C86" s="653">
        <v>-4.5</v>
      </c>
      <c r="D86" s="653">
        <v>16.5</v>
      </c>
      <c r="E86" s="653">
        <v>68.5</v>
      </c>
      <c r="F86" s="653">
        <v>67</v>
      </c>
      <c r="G86" s="653">
        <v>-22.3</v>
      </c>
      <c r="H86" s="653">
        <v>34</v>
      </c>
      <c r="I86" s="653">
        <v>125</v>
      </c>
      <c r="J86" s="653">
        <v>-226</v>
      </c>
      <c r="K86" s="653">
        <v>170</v>
      </c>
    </row>
    <row r="87" spans="1:12">
      <c r="A87" s="679" t="s">
        <v>565</v>
      </c>
      <c r="K87" s="653">
        <v>98</v>
      </c>
    </row>
    <row r="88" spans="1:12">
      <c r="A88" s="679" t="s">
        <v>564</v>
      </c>
      <c r="B88" s="653">
        <v>1023.6</v>
      </c>
      <c r="C88" s="653">
        <v>139.5</v>
      </c>
      <c r="D88" s="653">
        <v>572.29999999999995</v>
      </c>
      <c r="E88" s="653">
        <v>965.4</v>
      </c>
      <c r="F88" s="653">
        <v>1566.3</v>
      </c>
      <c r="I88" s="653">
        <v>3049</v>
      </c>
      <c r="J88" s="653">
        <v>625</v>
      </c>
      <c r="K88" s="653">
        <v>3668</v>
      </c>
    </row>
    <row r="89" spans="1:12">
      <c r="A89" s="679" t="s">
        <v>65</v>
      </c>
      <c r="G89" s="653">
        <v>134.80000000000001</v>
      </c>
      <c r="H89" s="653">
        <v>134</v>
      </c>
      <c r="I89" s="653">
        <v>206</v>
      </c>
      <c r="J89" s="653">
        <v>240</v>
      </c>
      <c r="K89" s="653">
        <v>248</v>
      </c>
    </row>
    <row r="90" spans="1:12">
      <c r="A90" s="679" t="s">
        <v>563</v>
      </c>
      <c r="K90" s="653">
        <v>532</v>
      </c>
    </row>
    <row r="91" spans="1:12">
      <c r="A91" s="679" t="s">
        <v>562</v>
      </c>
      <c r="K91" s="653">
        <v>161</v>
      </c>
    </row>
    <row r="92" spans="1:12">
      <c r="A92" s="679" t="s">
        <v>561</v>
      </c>
      <c r="K92" s="653">
        <v>86</v>
      </c>
    </row>
    <row r="93" spans="1:12">
      <c r="A93" s="679" t="s">
        <v>560</v>
      </c>
      <c r="B93" s="653">
        <v>16</v>
      </c>
      <c r="C93" s="653">
        <v>-268.89999999999998</v>
      </c>
      <c r="D93" s="653">
        <v>-32.4</v>
      </c>
      <c r="E93" s="653">
        <v>13.4</v>
      </c>
      <c r="F93" s="653">
        <v>25.1</v>
      </c>
      <c r="G93" s="653">
        <v>25.4</v>
      </c>
      <c r="H93" s="653">
        <v>28.3</v>
      </c>
      <c r="K93" s="653">
        <v>26.3</v>
      </c>
    </row>
    <row r="94" spans="1:12">
      <c r="A94" s="685" t="s">
        <v>559</v>
      </c>
      <c r="B94" s="684">
        <v>6333.2</v>
      </c>
      <c r="C94" s="684">
        <v>6961.5</v>
      </c>
      <c r="D94" s="684">
        <v>9047.2999999999993</v>
      </c>
      <c r="E94" s="684">
        <v>11067.9</v>
      </c>
      <c r="F94" s="684">
        <v>12052.9</v>
      </c>
      <c r="G94" s="684">
        <v>12282.6</v>
      </c>
      <c r="H94" s="684">
        <v>11974</v>
      </c>
      <c r="I94" s="684">
        <v>11872</v>
      </c>
      <c r="J94" s="684">
        <v>11782</v>
      </c>
      <c r="K94" s="684">
        <v>11077</v>
      </c>
      <c r="L94" s="683">
        <v>11192</v>
      </c>
    </row>
    <row r="95" spans="1:12">
      <c r="A95" s="679" t="s">
        <v>558</v>
      </c>
      <c r="B95" s="653">
        <v>6145.9</v>
      </c>
      <c r="C95" s="653">
        <v>6656.4</v>
      </c>
      <c r="D95" s="653">
        <v>8085.3</v>
      </c>
      <c r="E95" s="653">
        <v>10182.5</v>
      </c>
      <c r="F95" s="653">
        <v>11635.7</v>
      </c>
      <c r="G95" s="653">
        <v>12176</v>
      </c>
      <c r="H95" s="653">
        <v>11958</v>
      </c>
      <c r="I95" s="653">
        <v>11946</v>
      </c>
      <c r="J95" s="653">
        <v>11828</v>
      </c>
      <c r="K95" s="653">
        <v>11331</v>
      </c>
    </row>
    <row r="96" spans="1:12">
      <c r="A96" s="679" t="s">
        <v>557</v>
      </c>
      <c r="H96" s="653">
        <v>88</v>
      </c>
      <c r="I96" s="653">
        <v>87</v>
      </c>
      <c r="J96" s="653">
        <v>81</v>
      </c>
      <c r="K96" s="653">
        <v>80</v>
      </c>
    </row>
    <row r="97" spans="1:11" s="653" customFormat="1">
      <c r="A97" s="679" t="s">
        <v>556</v>
      </c>
      <c r="B97" s="653">
        <v>230.6</v>
      </c>
      <c r="C97" s="653">
        <v>234.8</v>
      </c>
      <c r="D97" s="653">
        <v>239.7</v>
      </c>
      <c r="E97" s="653">
        <v>258.89999999999998</v>
      </c>
      <c r="G97" s="653">
        <v>345.3</v>
      </c>
      <c r="H97" s="653">
        <v>417</v>
      </c>
      <c r="I97" s="653">
        <v>-457</v>
      </c>
    </row>
    <row r="98" spans="1:11" s="653" customFormat="1">
      <c r="A98" s="679" t="s">
        <v>555</v>
      </c>
      <c r="B98" s="653">
        <v>589.20000000000005</v>
      </c>
      <c r="C98" s="653">
        <v>665.2</v>
      </c>
      <c r="D98" s="653">
        <v>745.9</v>
      </c>
      <c r="E98" s="653">
        <v>944.3</v>
      </c>
      <c r="F98" s="653">
        <v>1076.9000000000001</v>
      </c>
      <c r="G98" s="653">
        <v>1292.9000000000001</v>
      </c>
      <c r="H98" s="653">
        <v>1533</v>
      </c>
      <c r="I98" s="653">
        <v>1658</v>
      </c>
      <c r="J98" s="653">
        <v>1761</v>
      </c>
      <c r="K98" s="653">
        <v>1900</v>
      </c>
    </row>
    <row r="99" spans="1:11" s="653" customFormat="1">
      <c r="A99" s="679" t="s">
        <v>555</v>
      </c>
      <c r="B99" s="653">
        <v>126.3</v>
      </c>
      <c r="C99" s="653">
        <v>137</v>
      </c>
      <c r="D99" s="653">
        <v>155</v>
      </c>
      <c r="E99" s="653">
        <v>212.4</v>
      </c>
      <c r="F99" s="653">
        <v>216</v>
      </c>
      <c r="G99" s="653">
        <v>274.7</v>
      </c>
      <c r="H99" s="653">
        <v>269</v>
      </c>
      <c r="I99" s="653">
        <v>289</v>
      </c>
      <c r="J99" s="653">
        <v>315</v>
      </c>
      <c r="K99" s="653">
        <v>338</v>
      </c>
    </row>
    <row r="100" spans="1:11" s="653" customFormat="1">
      <c r="A100" s="679" t="s">
        <v>554</v>
      </c>
      <c r="B100" s="653">
        <v>594.1</v>
      </c>
      <c r="C100" s="653">
        <v>538.79999999999995</v>
      </c>
      <c r="D100" s="653">
        <v>461.4</v>
      </c>
      <c r="E100" s="653">
        <v>771.4</v>
      </c>
      <c r="F100" s="653">
        <v>886.2</v>
      </c>
      <c r="G100" s="653">
        <v>1031.2</v>
      </c>
      <c r="H100" s="653">
        <v>1304</v>
      </c>
      <c r="I100" s="653">
        <v>1409</v>
      </c>
      <c r="J100" s="653">
        <v>1125</v>
      </c>
      <c r="K100" s="653">
        <v>1558</v>
      </c>
    </row>
    <row r="101" spans="1:11" s="653" customFormat="1">
      <c r="A101" s="679" t="s">
        <v>554</v>
      </c>
      <c r="F101" s="653">
        <v>13.4</v>
      </c>
      <c r="G101" s="653">
        <v>21.8</v>
      </c>
      <c r="H101" s="653">
        <v>26</v>
      </c>
      <c r="I101" s="653">
        <v>37</v>
      </c>
      <c r="J101" s="653">
        <v>32</v>
      </c>
      <c r="K101" s="653">
        <v>50</v>
      </c>
    </row>
    <row r="102" spans="1:11" s="653" customFormat="1">
      <c r="A102" s="679" t="s">
        <v>553</v>
      </c>
      <c r="B102" s="653">
        <v>4.9000000000000004</v>
      </c>
      <c r="C102" s="653">
        <v>-126.4</v>
      </c>
      <c r="D102" s="653">
        <v>-284.5</v>
      </c>
      <c r="E102" s="653">
        <v>-172.9</v>
      </c>
      <c r="F102" s="653">
        <v>-190.7</v>
      </c>
      <c r="G102" s="653">
        <v>-261.7</v>
      </c>
      <c r="H102" s="653">
        <v>-229</v>
      </c>
      <c r="I102" s="653">
        <v>249</v>
      </c>
      <c r="J102" s="653">
        <v>636</v>
      </c>
      <c r="K102" s="653">
        <v>342</v>
      </c>
    </row>
    <row r="103" spans="1:11" s="653" customFormat="1">
      <c r="A103" s="679" t="s">
        <v>553</v>
      </c>
      <c r="E103" s="653">
        <v>-212.4</v>
      </c>
      <c r="F103" s="653">
        <v>-202.6</v>
      </c>
      <c r="G103" s="653">
        <v>-252.9</v>
      </c>
      <c r="H103" s="653">
        <v>-243</v>
      </c>
      <c r="I103" s="653">
        <v>252</v>
      </c>
      <c r="J103" s="653">
        <v>283</v>
      </c>
      <c r="K103" s="653">
        <v>288</v>
      </c>
    </row>
    <row r="104" spans="1:11" s="653" customFormat="1">
      <c r="A104" s="679" t="s">
        <v>552</v>
      </c>
      <c r="F104" s="653">
        <v>836.5</v>
      </c>
      <c r="G104" s="653">
        <v>1000</v>
      </c>
      <c r="H104" s="653">
        <v>1224</v>
      </c>
      <c r="I104" s="653">
        <v>1328</v>
      </c>
      <c r="J104" s="653">
        <v>1451</v>
      </c>
      <c r="K104" s="653">
        <v>1593</v>
      </c>
    </row>
    <row r="105" spans="1:11" s="653" customFormat="1">
      <c r="A105" s="679" t="s">
        <v>539</v>
      </c>
      <c r="B105" s="653">
        <v>7.5</v>
      </c>
      <c r="C105" s="653">
        <v>7.25</v>
      </c>
      <c r="D105" s="653">
        <v>7</v>
      </c>
      <c r="E105" s="653">
        <v>6.5</v>
      </c>
      <c r="F105" s="653">
        <v>6.25</v>
      </c>
      <c r="G105" s="653">
        <v>5.75</v>
      </c>
      <c r="H105" s="653">
        <v>5.75</v>
      </c>
      <c r="I105" s="653">
        <v>5.75</v>
      </c>
      <c r="J105" s="653">
        <v>6</v>
      </c>
      <c r="K105" s="653">
        <v>6</v>
      </c>
    </row>
    <row r="106" spans="1:11" s="653" customFormat="1">
      <c r="A106" s="679" t="s">
        <v>551</v>
      </c>
      <c r="B106" s="653">
        <v>4.5</v>
      </c>
      <c r="C106" s="653">
        <v>4.25</v>
      </c>
      <c r="D106" s="653">
        <v>4.5</v>
      </c>
      <c r="E106" s="653">
        <v>4.5</v>
      </c>
      <c r="F106" s="653">
        <v>4.5</v>
      </c>
      <c r="G106" s="653">
        <v>4.5</v>
      </c>
      <c r="H106" s="653">
        <v>4.5</v>
      </c>
      <c r="I106" s="653">
        <v>4.5</v>
      </c>
      <c r="J106" s="653">
        <v>4.5</v>
      </c>
      <c r="K106" s="653">
        <v>4.5</v>
      </c>
    </row>
    <row r="107" spans="1:11" s="653" customFormat="1">
      <c r="A107" s="679" t="s">
        <v>550</v>
      </c>
      <c r="F107" s="653">
        <v>65</v>
      </c>
      <c r="G107" s="653">
        <v>126.9</v>
      </c>
      <c r="H107" s="653">
        <v>109</v>
      </c>
      <c r="I107" s="653">
        <v>93</v>
      </c>
      <c r="J107" s="653">
        <v>127</v>
      </c>
      <c r="K107" s="653">
        <v>228</v>
      </c>
    </row>
    <row r="108" spans="1:11" s="653" customFormat="1">
      <c r="A108" s="679" t="s">
        <v>549</v>
      </c>
      <c r="F108" s="653">
        <v>12.8</v>
      </c>
      <c r="G108" s="653">
        <v>8</v>
      </c>
      <c r="H108" s="653">
        <v>2</v>
      </c>
      <c r="I108" s="653">
        <v>12</v>
      </c>
      <c r="J108" s="653">
        <v>10</v>
      </c>
      <c r="K108" s="653">
        <v>10</v>
      </c>
    </row>
    <row r="109" spans="1:11" s="653" customFormat="1">
      <c r="A109" s="679" t="s">
        <v>548</v>
      </c>
      <c r="B109" s="653">
        <v>26.4</v>
      </c>
      <c r="C109" s="653">
        <v>28.6</v>
      </c>
      <c r="D109" s="653">
        <v>32.1</v>
      </c>
      <c r="E109" s="653">
        <v>42.7</v>
      </c>
      <c r="F109" s="653">
        <v>50.2</v>
      </c>
      <c r="G109" s="653">
        <v>57.6</v>
      </c>
      <c r="H109" s="653">
        <v>67</v>
      </c>
      <c r="I109" s="653">
        <v>79</v>
      </c>
      <c r="J109" s="653">
        <v>76</v>
      </c>
      <c r="K109" s="653">
        <v>73</v>
      </c>
    </row>
    <row r="110" spans="1:11" s="653" customFormat="1">
      <c r="A110" s="679" t="s">
        <v>548</v>
      </c>
      <c r="B110" s="653">
        <v>4.8</v>
      </c>
      <c r="C110" s="653">
        <v>5</v>
      </c>
      <c r="D110" s="653">
        <v>5.2</v>
      </c>
      <c r="E110" s="653">
        <v>6.7</v>
      </c>
      <c r="F110" s="653">
        <v>6.7</v>
      </c>
      <c r="G110" s="653">
        <v>8.4</v>
      </c>
      <c r="H110" s="653">
        <v>9</v>
      </c>
      <c r="I110" s="653">
        <v>10</v>
      </c>
      <c r="J110" s="653">
        <v>10</v>
      </c>
      <c r="K110" s="653">
        <v>10</v>
      </c>
    </row>
    <row r="111" spans="1:11" s="653" customFormat="1">
      <c r="A111" s="679" t="s">
        <v>547</v>
      </c>
      <c r="B111" s="653">
        <v>40.200000000000003</v>
      </c>
      <c r="C111" s="653">
        <v>43.9</v>
      </c>
      <c r="D111" s="653">
        <v>46.9</v>
      </c>
      <c r="E111" s="653">
        <v>55.2</v>
      </c>
      <c r="F111" s="653">
        <v>61.2</v>
      </c>
      <c r="G111" s="653">
        <v>68.5</v>
      </c>
      <c r="H111" s="653">
        <v>75</v>
      </c>
      <c r="I111" s="653">
        <v>89</v>
      </c>
      <c r="J111" s="653">
        <v>99</v>
      </c>
      <c r="K111" s="653">
        <v>104</v>
      </c>
    </row>
    <row r="112" spans="1:11" s="653" customFormat="1">
      <c r="A112" s="679" t="s">
        <v>547</v>
      </c>
      <c r="B112" s="653">
        <v>8.6999999999999993</v>
      </c>
      <c r="C112" s="653">
        <v>9.1999999999999993</v>
      </c>
      <c r="D112" s="653">
        <v>9.9</v>
      </c>
      <c r="E112" s="653">
        <v>12.6</v>
      </c>
      <c r="F112" s="653">
        <v>12.6</v>
      </c>
      <c r="G112" s="653">
        <v>14.5</v>
      </c>
      <c r="H112" s="653">
        <v>14</v>
      </c>
      <c r="I112" s="653">
        <v>16</v>
      </c>
      <c r="J112" s="653">
        <v>17</v>
      </c>
      <c r="K112" s="653">
        <v>19</v>
      </c>
    </row>
    <row r="113" spans="1:11" s="653" customFormat="1">
      <c r="A113" s="679" t="s">
        <v>546</v>
      </c>
      <c r="B113" s="653">
        <v>-49.9</v>
      </c>
      <c r="C113" s="653">
        <v>-53.5</v>
      </c>
      <c r="D113" s="653">
        <v>-51.9</v>
      </c>
      <c r="E113" s="653">
        <v>-55</v>
      </c>
      <c r="F113" s="653">
        <v>-66.900000000000006</v>
      </c>
      <c r="G113" s="653">
        <v>-73.5</v>
      </c>
      <c r="H113" s="653">
        <v>-85</v>
      </c>
      <c r="I113" s="653">
        <v>-100</v>
      </c>
      <c r="J113" s="653">
        <v>-114</v>
      </c>
      <c r="K113" s="653">
        <v>-118</v>
      </c>
    </row>
    <row r="114" spans="1:11" s="653" customFormat="1">
      <c r="A114" s="679" t="s">
        <v>546</v>
      </c>
      <c r="F114" s="653">
        <v>-0.2</v>
      </c>
      <c r="G114" s="653">
        <v>-1.1000000000000001</v>
      </c>
      <c r="H114" s="653">
        <v>-2</v>
      </c>
      <c r="I114" s="653">
        <v>-2</v>
      </c>
      <c r="J114" s="653">
        <v>-3</v>
      </c>
      <c r="K114" s="653">
        <v>-4</v>
      </c>
    </row>
    <row r="115" spans="1:11" s="653" customFormat="1">
      <c r="A115" s="679" t="s">
        <v>545</v>
      </c>
      <c r="B115" s="653">
        <v>10.4</v>
      </c>
      <c r="C115" s="653">
        <v>14</v>
      </c>
      <c r="D115" s="653">
        <v>36.700000000000003</v>
      </c>
      <c r="E115" s="653">
        <v>46.4</v>
      </c>
      <c r="F115" s="653">
        <v>58.7</v>
      </c>
      <c r="G115" s="653">
        <v>73.2</v>
      </c>
      <c r="H115" s="653">
        <v>91</v>
      </c>
      <c r="I115" s="653">
        <v>100</v>
      </c>
      <c r="J115" s="653">
        <v>112</v>
      </c>
      <c r="K115" s="653">
        <v>105</v>
      </c>
    </row>
    <row r="116" spans="1:11" s="653" customFormat="1">
      <c r="A116" s="679" t="s">
        <v>335</v>
      </c>
      <c r="B116" s="653">
        <v>12</v>
      </c>
      <c r="C116" s="653">
        <v>12.8</v>
      </c>
      <c r="D116" s="653">
        <v>14.2</v>
      </c>
      <c r="E116" s="653">
        <v>19.7</v>
      </c>
      <c r="F116" s="653">
        <v>24.4</v>
      </c>
      <c r="G116" s="653">
        <v>22.2</v>
      </c>
      <c r="H116" s="653">
        <v>22</v>
      </c>
      <c r="I116" s="653">
        <v>25</v>
      </c>
      <c r="J116" s="653">
        <v>25</v>
      </c>
      <c r="K116" s="653">
        <v>26</v>
      </c>
    </row>
    <row r="117" spans="1:11" s="653" customFormat="1">
      <c r="A117" s="679" t="s">
        <v>544</v>
      </c>
      <c r="B117" s="653">
        <v>7.5</v>
      </c>
      <c r="C117" s="653">
        <v>7.25</v>
      </c>
      <c r="D117" s="653">
        <v>7</v>
      </c>
      <c r="E117" s="653">
        <v>6.5</v>
      </c>
      <c r="F117" s="653">
        <v>6.25</v>
      </c>
      <c r="G117" s="653">
        <v>5.75</v>
      </c>
      <c r="H117" s="653">
        <v>5.75</v>
      </c>
      <c r="I117" s="653">
        <v>5.75</v>
      </c>
      <c r="J117" s="653">
        <v>6</v>
      </c>
      <c r="K117" s="653">
        <v>6</v>
      </c>
    </row>
    <row r="118" spans="1:11" s="653" customFormat="1">
      <c r="A118" s="679" t="s">
        <v>543</v>
      </c>
      <c r="B118" s="653">
        <v>9</v>
      </c>
      <c r="C118" s="653">
        <v>9</v>
      </c>
      <c r="D118" s="653">
        <v>8.75</v>
      </c>
      <c r="E118" s="653">
        <v>8.75</v>
      </c>
      <c r="F118" s="653">
        <v>8.5</v>
      </c>
      <c r="G118" s="653">
        <v>8.25</v>
      </c>
      <c r="H118" s="653">
        <v>8</v>
      </c>
      <c r="I118" s="653">
        <v>8</v>
      </c>
      <c r="J118" s="653">
        <v>8</v>
      </c>
      <c r="K118" s="653">
        <v>8</v>
      </c>
    </row>
    <row r="119" spans="1:11" s="653" customFormat="1">
      <c r="A119" s="679" t="s">
        <v>542</v>
      </c>
      <c r="F119" s="653">
        <v>8.5</v>
      </c>
      <c r="G119" s="653">
        <v>8.25</v>
      </c>
      <c r="H119" s="653">
        <v>8</v>
      </c>
      <c r="I119" s="653">
        <v>8</v>
      </c>
      <c r="J119" s="653">
        <v>8</v>
      </c>
      <c r="K119" s="653">
        <v>8</v>
      </c>
    </row>
    <row r="120" spans="1:11" s="653" customFormat="1">
      <c r="A120" s="679" t="s">
        <v>541</v>
      </c>
      <c r="B120" s="653">
        <v>8.6999999999999993</v>
      </c>
      <c r="C120" s="653">
        <v>10</v>
      </c>
      <c r="D120" s="653">
        <v>9.3000000000000007</v>
      </c>
      <c r="E120" s="653">
        <v>11.5</v>
      </c>
      <c r="F120" s="653">
        <v>10</v>
      </c>
      <c r="G120" s="653">
        <v>9.5</v>
      </c>
      <c r="H120" s="653">
        <v>9.5</v>
      </c>
      <c r="I120" s="653">
        <v>8.75</v>
      </c>
      <c r="J120" s="653">
        <v>8.75</v>
      </c>
      <c r="K120" s="653">
        <v>8.6999999999999993</v>
      </c>
    </row>
    <row r="121" spans="1:11" s="653" customFormat="1">
      <c r="A121" s="679" t="s">
        <v>540</v>
      </c>
      <c r="B121" s="653">
        <v>6</v>
      </c>
      <c r="C121" s="653">
        <v>5</v>
      </c>
      <c r="F121" s="653">
        <v>5</v>
      </c>
      <c r="G121" s="653">
        <v>5</v>
      </c>
      <c r="H121" s="653">
        <v>5</v>
      </c>
      <c r="I121" s="653">
        <v>5</v>
      </c>
      <c r="J121" s="653">
        <v>5</v>
      </c>
      <c r="K121" s="653">
        <v>4.5</v>
      </c>
    </row>
    <row r="122" spans="1:11" s="653" customFormat="1">
      <c r="A122" s="679" t="s">
        <v>539</v>
      </c>
      <c r="K122" s="653">
        <v>29</v>
      </c>
    </row>
    <row r="123" spans="1:11" s="653" customFormat="1">
      <c r="A123" s="679" t="s">
        <v>538</v>
      </c>
      <c r="K123" s="653">
        <v>33</v>
      </c>
    </row>
    <row r="124" spans="1:11" s="653" customFormat="1">
      <c r="A124" s="679" t="s">
        <v>364</v>
      </c>
      <c r="K124" s="653">
        <v>232</v>
      </c>
    </row>
    <row r="125" spans="1:11" s="653" customFormat="1">
      <c r="A125" s="679" t="s">
        <v>366</v>
      </c>
      <c r="K125" s="653">
        <v>175</v>
      </c>
    </row>
    <row r="126" spans="1:11" s="653" customFormat="1">
      <c r="A126" s="679" t="s">
        <v>368</v>
      </c>
      <c r="K126" s="653">
        <v>33</v>
      </c>
    </row>
    <row r="127" spans="1:11" s="653" customFormat="1">
      <c r="A127" s="679" t="s">
        <v>361</v>
      </c>
      <c r="K127" s="653">
        <v>121</v>
      </c>
    </row>
    <row r="128" spans="1:11" s="653" customFormat="1">
      <c r="A128" s="679" t="s">
        <v>316</v>
      </c>
      <c r="K128" s="653">
        <v>935</v>
      </c>
    </row>
    <row r="129" spans="1:12">
      <c r="A129" s="679" t="s">
        <v>335</v>
      </c>
      <c r="J129" s="653">
        <v>96</v>
      </c>
      <c r="K129" s="653">
        <v>78</v>
      </c>
    </row>
    <row r="130" spans="1:12">
      <c r="A130" s="679" t="s">
        <v>537</v>
      </c>
      <c r="J130" s="653">
        <v>66</v>
      </c>
      <c r="K130" s="653">
        <v>72</v>
      </c>
    </row>
    <row r="131" spans="1:12">
      <c r="A131" s="679" t="s">
        <v>536</v>
      </c>
      <c r="J131" s="653">
        <v>70</v>
      </c>
      <c r="K131" s="653">
        <v>79</v>
      </c>
    </row>
    <row r="132" spans="1:12">
      <c r="A132" s="679" t="s">
        <v>535</v>
      </c>
      <c r="J132" s="653">
        <v>78</v>
      </c>
      <c r="K132" s="653">
        <v>85</v>
      </c>
    </row>
    <row r="133" spans="1:12">
      <c r="A133" s="679" t="s">
        <v>534</v>
      </c>
      <c r="J133" s="653">
        <v>83</v>
      </c>
      <c r="K133" s="653">
        <v>92</v>
      </c>
    </row>
    <row r="134" spans="1:12">
      <c r="A134" s="679" t="s">
        <v>533</v>
      </c>
      <c r="B134" s="653">
        <v>6741.6</v>
      </c>
      <c r="C134" s="653">
        <v>7534.3</v>
      </c>
      <c r="D134" s="653">
        <v>9799.2999999999993</v>
      </c>
      <c r="E134" s="653">
        <v>11337.7</v>
      </c>
      <c r="F134" s="653">
        <v>12001.3</v>
      </c>
      <c r="G134" s="653">
        <v>12179.6</v>
      </c>
      <c r="H134" s="653">
        <v>12224</v>
      </c>
    </row>
    <row r="135" spans="1:12">
      <c r="A135" s="679" t="s">
        <v>532</v>
      </c>
      <c r="J135" s="653">
        <v>576</v>
      </c>
      <c r="K135" s="653">
        <v>626</v>
      </c>
    </row>
    <row r="136" spans="1:12">
      <c r="A136" s="679" t="s">
        <v>531</v>
      </c>
      <c r="B136" s="653">
        <v>384.4</v>
      </c>
      <c r="C136" s="653">
        <v>525.20000000000005</v>
      </c>
      <c r="D136" s="653">
        <v>835.9</v>
      </c>
      <c r="E136" s="653">
        <v>1266</v>
      </c>
      <c r="F136" s="653">
        <v>1397.7</v>
      </c>
      <c r="G136" s="653">
        <v>1119.7</v>
      </c>
      <c r="H136" s="653">
        <v>954</v>
      </c>
    </row>
    <row r="137" spans="1:12">
      <c r="A137" s="679" t="s">
        <v>520</v>
      </c>
      <c r="B137" s="653">
        <v>174.3</v>
      </c>
      <c r="C137" s="653">
        <v>172.2</v>
      </c>
      <c r="D137" s="653">
        <v>170.5</v>
      </c>
      <c r="E137" s="653">
        <v>179.2</v>
      </c>
      <c r="F137" s="653">
        <v>189.9</v>
      </c>
      <c r="G137" s="653">
        <v>198.2</v>
      </c>
      <c r="H137" s="653">
        <v>412.5</v>
      </c>
      <c r="I137" s="653">
        <v>393.6</v>
      </c>
      <c r="J137" s="653">
        <v>361.1</v>
      </c>
      <c r="K137" s="653">
        <v>350.1</v>
      </c>
      <c r="L137" s="682">
        <v>314.39999999999998</v>
      </c>
    </row>
    <row r="138" spans="1:12">
      <c r="A138" s="679" t="s">
        <v>530</v>
      </c>
      <c r="B138" s="653">
        <v>792.8</v>
      </c>
      <c r="C138" s="653">
        <v>1098</v>
      </c>
      <c r="D138" s="653">
        <v>1587.9</v>
      </c>
      <c r="E138" s="653">
        <v>1535.8</v>
      </c>
      <c r="F138" s="653">
        <v>1346.1</v>
      </c>
      <c r="G138" s="653">
        <v>1016.7</v>
      </c>
      <c r="H138" s="653">
        <v>1204</v>
      </c>
    </row>
    <row r="139" spans="1:12">
      <c r="A139" s="679" t="s">
        <v>529</v>
      </c>
      <c r="B139" s="653">
        <v>4.0999999999999996</v>
      </c>
      <c r="C139" s="653">
        <v>0.65</v>
      </c>
      <c r="D139" s="653">
        <v>1.31</v>
      </c>
      <c r="E139" s="653">
        <v>4.51</v>
      </c>
      <c r="F139" s="653">
        <v>8.15</v>
      </c>
      <c r="G139" s="653">
        <v>9.2100000000000009</v>
      </c>
      <c r="H139" s="653">
        <v>6.13</v>
      </c>
      <c r="I139" s="653">
        <v>7.13</v>
      </c>
      <c r="J139" s="653">
        <v>5</v>
      </c>
      <c r="K139" s="653">
        <v>6.24</v>
      </c>
    </row>
    <row r="140" spans="1:12">
      <c r="A140" s="679" t="s">
        <v>519</v>
      </c>
      <c r="B140" s="653">
        <v>178.3</v>
      </c>
      <c r="C140" s="653">
        <v>175.8</v>
      </c>
      <c r="D140" s="653">
        <v>172.9</v>
      </c>
      <c r="E140" s="653">
        <v>181.3</v>
      </c>
      <c r="F140" s="653">
        <v>193.2</v>
      </c>
      <c r="G140" s="653">
        <v>204.2</v>
      </c>
      <c r="H140" s="653">
        <v>422.4</v>
      </c>
      <c r="I140" s="653">
        <v>400.3</v>
      </c>
      <c r="J140" s="653">
        <v>366.8</v>
      </c>
      <c r="K140" s="653">
        <v>353</v>
      </c>
      <c r="L140" s="681">
        <v>307.39999999999998</v>
      </c>
    </row>
    <row r="141" spans="1:12">
      <c r="A141" s="679" t="s">
        <v>528</v>
      </c>
      <c r="B141" s="653">
        <v>4.01</v>
      </c>
      <c r="C141" s="653">
        <v>0.63</v>
      </c>
      <c r="D141" s="653">
        <v>1.29</v>
      </c>
      <c r="E141" s="653">
        <v>4.46</v>
      </c>
      <c r="F141" s="653">
        <v>8.01</v>
      </c>
      <c r="G141" s="653">
        <v>8.94</v>
      </c>
      <c r="H141" s="653">
        <v>5.98</v>
      </c>
      <c r="I141" s="653">
        <v>7.01</v>
      </c>
      <c r="J141" s="653">
        <v>4.92</v>
      </c>
      <c r="K141" s="653">
        <v>6.18</v>
      </c>
    </row>
    <row r="142" spans="1:12">
      <c r="A142" s="679" t="s">
        <v>527</v>
      </c>
      <c r="K142" s="653">
        <v>277</v>
      </c>
    </row>
    <row r="143" spans="1:12">
      <c r="A143" s="679" t="s">
        <v>316</v>
      </c>
      <c r="E143" s="653">
        <v>60</v>
      </c>
      <c r="F143" s="653">
        <v>61</v>
      </c>
      <c r="G143" s="653">
        <v>60</v>
      </c>
      <c r="H143" s="653">
        <v>62</v>
      </c>
      <c r="I143" s="653">
        <v>60</v>
      </c>
      <c r="J143" s="653">
        <v>46</v>
      </c>
    </row>
    <row r="144" spans="1:12">
      <c r="A144" s="679" t="s">
        <v>318</v>
      </c>
      <c r="E144" s="653">
        <v>40</v>
      </c>
      <c r="F144" s="653">
        <v>39</v>
      </c>
      <c r="G144" s="653">
        <v>40</v>
      </c>
      <c r="H144" s="653">
        <v>38</v>
      </c>
      <c r="I144" s="653">
        <v>40</v>
      </c>
      <c r="J144" s="653">
        <v>54</v>
      </c>
    </row>
    <row r="145" spans="1:12">
      <c r="A145" s="679" t="s">
        <v>526</v>
      </c>
      <c r="H145" s="653">
        <v>-25</v>
      </c>
    </row>
    <row r="146" spans="1:12">
      <c r="A146" s="679" t="s">
        <v>157</v>
      </c>
      <c r="H146" s="653">
        <v>2528</v>
      </c>
      <c r="I146" s="653">
        <v>2807</v>
      </c>
      <c r="J146" s="653">
        <v>1804</v>
      </c>
    </row>
    <row r="147" spans="1:12">
      <c r="A147" s="679" t="s">
        <v>525</v>
      </c>
      <c r="I147" s="653">
        <v>-17</v>
      </c>
      <c r="J147" s="653">
        <v>-284</v>
      </c>
    </row>
    <row r="148" spans="1:12">
      <c r="A148" s="679" t="s">
        <v>524</v>
      </c>
      <c r="B148" s="653">
        <v>957.2</v>
      </c>
      <c r="C148" s="653">
        <v>982.8</v>
      </c>
      <c r="D148" s="653">
        <v>997.3</v>
      </c>
      <c r="E148" s="653">
        <v>1118.3</v>
      </c>
      <c r="G148" s="653">
        <v>1407.7</v>
      </c>
      <c r="H148" s="653">
        <v>1580</v>
      </c>
      <c r="I148" s="653">
        <v>1590</v>
      </c>
    </row>
    <row r="149" spans="1:12">
      <c r="A149" s="679" t="s">
        <v>523</v>
      </c>
      <c r="B149" s="653">
        <v>4127.7</v>
      </c>
      <c r="C149" s="653">
        <v>5357.4</v>
      </c>
      <c r="D149" s="653">
        <v>6064.6</v>
      </c>
      <c r="E149" s="653">
        <v>6867.2</v>
      </c>
      <c r="G149" s="653">
        <v>7813.5</v>
      </c>
      <c r="H149" s="653">
        <v>6574</v>
      </c>
      <c r="I149" s="653">
        <v>6299</v>
      </c>
      <c r="J149" s="653">
        <v>6898</v>
      </c>
    </row>
    <row r="150" spans="1:12">
      <c r="A150" s="679" t="s">
        <v>522</v>
      </c>
      <c r="B150" s="653">
        <v>1645.4</v>
      </c>
      <c r="C150" s="653">
        <v>1771.4</v>
      </c>
      <c r="D150" s="653">
        <v>2077.8000000000002</v>
      </c>
      <c r="E150" s="653">
        <v>2535.6</v>
      </c>
      <c r="G150" s="653">
        <v>2930.4</v>
      </c>
      <c r="H150" s="653">
        <v>2919</v>
      </c>
      <c r="I150" s="653">
        <v>3092</v>
      </c>
      <c r="J150" s="653">
        <v>3123</v>
      </c>
    </row>
    <row r="151" spans="1:12">
      <c r="L151" s="680" t="s">
        <v>521</v>
      </c>
    </row>
    <row r="152" spans="1:12">
      <c r="L152" s="680" t="s">
        <v>520</v>
      </c>
    </row>
    <row r="153" spans="1:12">
      <c r="L153" s="680" t="s">
        <v>519</v>
      </c>
    </row>
  </sheetData>
  <customSheetViews>
    <customSheetView guid="{5A4827F7-D52D-44AD-B257-2AB13F875B96}" scale="85" hiddenColumns="1">
      <pane xSplit="1" ySplit="13" topLeftCell="C14" activePane="bottomRight" state="frozenSplit"/>
      <selection pane="bottomRight" activeCell="L66" sqref="K66:L66"/>
      <pageMargins left="0.7" right="0.7" top="0.75" bottom="0.75" header="0.3" footer="0.3"/>
    </customSheetView>
  </customSheetView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T150"/>
  <sheetViews>
    <sheetView showGridLines="0" zoomScale="70" zoomScaleNormal="70" workbookViewId="0">
      <pane xSplit="1" ySplit="12" topLeftCell="AI13" activePane="bottomRight" state="frozen"/>
      <selection activeCell="C34" activeCellId="1" sqref="A33 C34"/>
      <selection pane="topRight" activeCell="C34" activeCellId="1" sqref="A33 C34"/>
      <selection pane="bottomLeft" activeCell="C34" activeCellId="1" sqref="A33 C34"/>
      <selection pane="bottomRight" activeCell="AQ48" sqref="AQ48"/>
    </sheetView>
  </sheetViews>
  <sheetFormatPr defaultColWidth="9.1796875" defaultRowHeight="13"/>
  <cols>
    <col min="1" max="1" width="54.31640625" style="1041" customWidth="1"/>
    <col min="2" max="2" width="20.1796875" style="1037" hidden="1" customWidth="1"/>
    <col min="3" max="5" width="9.6796875" style="1037" hidden="1" customWidth="1"/>
    <col min="6" max="10" width="9.31640625" style="1037" hidden="1" customWidth="1"/>
    <col min="11" max="13" width="9.6796875" style="1037" hidden="1" customWidth="1"/>
    <col min="14" max="14" width="9.31640625" style="1037" hidden="1" customWidth="1"/>
    <col min="15" max="17" width="9.6796875" style="1037" hidden="1" customWidth="1"/>
    <col min="18" max="18" width="9.31640625" style="1037" hidden="1" customWidth="1"/>
    <col min="19" max="20" width="9.6796875" style="1037" hidden="1" customWidth="1"/>
    <col min="21" max="21" width="9.31640625" style="1037" hidden="1" customWidth="1"/>
    <col min="22" max="23" width="9.6796875" style="1037" hidden="1" customWidth="1"/>
    <col min="24" max="24" width="9.31640625" style="1037" hidden="1" customWidth="1"/>
    <col min="25" max="27" width="9.6796875" style="1037" hidden="1" customWidth="1"/>
    <col min="28" max="28" width="9.31640625" style="1037" hidden="1" customWidth="1"/>
    <col min="29" max="31" width="9.6796875" style="1037" hidden="1" customWidth="1"/>
    <col min="32" max="32" width="9.31640625" style="1037" hidden="1" customWidth="1"/>
    <col min="33" max="34" width="9.6796875" style="1037" hidden="1" customWidth="1"/>
    <col min="35" max="35" width="9.31640625" style="1037" customWidth="1"/>
    <col min="36" max="37" width="9.6796875" style="1037" customWidth="1"/>
    <col min="38" max="38" width="9.6796875" style="1040" customWidth="1"/>
    <col min="39" max="39" width="9.31640625" style="1037" bestFit="1" customWidth="1"/>
    <col min="40" max="40" width="11.31640625" style="1037" bestFit="1" customWidth="1"/>
    <col min="41" max="41" width="9.31640625" style="1037" bestFit="1" customWidth="1"/>
    <col min="42" max="42" width="9.31640625" style="1039" bestFit="1" customWidth="1"/>
    <col min="43" max="43" width="9.1796875" style="1038"/>
    <col min="44" max="16384" width="9.1796875" style="1037"/>
  </cols>
  <sheetData>
    <row r="1" spans="1:43">
      <c r="A1" s="1041" t="s">
        <v>518</v>
      </c>
      <c r="B1" s="1037" t="s">
        <v>517</v>
      </c>
      <c r="C1" s="1037" t="s">
        <v>297</v>
      </c>
    </row>
    <row r="2" spans="1:43">
      <c r="A2" s="1041" t="s">
        <v>516</v>
      </c>
      <c r="B2" s="1037" t="s">
        <v>515</v>
      </c>
    </row>
    <row r="3" spans="1:43">
      <c r="A3" s="1041" t="s">
        <v>514</v>
      </c>
      <c r="B3" s="1037" t="s">
        <v>513</v>
      </c>
      <c r="AP3" s="1044" t="s">
        <v>1049</v>
      </c>
    </row>
    <row r="4" spans="1:43">
      <c r="A4" s="1041" t="s">
        <v>512</v>
      </c>
      <c r="B4" s="1053">
        <v>36526</v>
      </c>
      <c r="AP4" s="1043" t="s">
        <v>1048</v>
      </c>
    </row>
    <row r="5" spans="1:43">
      <c r="A5" s="1041" t="s">
        <v>511</v>
      </c>
      <c r="B5" s="1053">
        <v>40568</v>
      </c>
    </row>
    <row r="6" spans="1:43">
      <c r="A6" s="1041" t="s">
        <v>510</v>
      </c>
      <c r="B6" s="1037" t="s">
        <v>946</v>
      </c>
    </row>
    <row r="7" spans="1:43">
      <c r="A7" s="1041" t="s">
        <v>508</v>
      </c>
      <c r="B7" s="1037" t="s">
        <v>507</v>
      </c>
    </row>
    <row r="8" spans="1:43">
      <c r="A8" s="1041" t="s">
        <v>506</v>
      </c>
      <c r="B8" s="1037" t="s">
        <v>505</v>
      </c>
    </row>
    <row r="9" spans="1:43">
      <c r="A9" s="1041" t="s">
        <v>504</v>
      </c>
      <c r="B9" s="1037" t="s">
        <v>503</v>
      </c>
    </row>
    <row r="10" spans="1:43">
      <c r="A10" s="1041" t="s">
        <v>502</v>
      </c>
      <c r="B10" s="1037" t="s">
        <v>501</v>
      </c>
    </row>
    <row r="12" spans="1:43">
      <c r="A12" s="1041" t="s">
        <v>500</v>
      </c>
      <c r="B12" s="1037" t="s">
        <v>945</v>
      </c>
      <c r="C12" s="1037" t="s">
        <v>944</v>
      </c>
      <c r="D12" s="1037" t="s">
        <v>943</v>
      </c>
      <c r="E12" s="1037" t="s">
        <v>942</v>
      </c>
      <c r="F12" s="1037" t="s">
        <v>941</v>
      </c>
      <c r="G12" s="1037" t="s">
        <v>940</v>
      </c>
      <c r="H12" s="1037" t="s">
        <v>939</v>
      </c>
      <c r="I12" s="1037" t="s">
        <v>938</v>
      </c>
      <c r="J12" s="1037" t="s">
        <v>937</v>
      </c>
      <c r="K12" s="1037" t="s">
        <v>936</v>
      </c>
      <c r="L12" s="1037" t="s">
        <v>935</v>
      </c>
      <c r="M12" s="1037" t="s">
        <v>934</v>
      </c>
      <c r="N12" s="1037" t="s">
        <v>933</v>
      </c>
      <c r="O12" s="1037" t="s">
        <v>932</v>
      </c>
      <c r="P12" s="1037" t="s">
        <v>931</v>
      </c>
      <c r="Q12" s="1037" t="s">
        <v>930</v>
      </c>
      <c r="R12" s="1037" t="s">
        <v>929</v>
      </c>
      <c r="S12" s="1037" t="s">
        <v>928</v>
      </c>
      <c r="T12" s="1037" t="s">
        <v>927</v>
      </c>
      <c r="U12" s="1037" t="s">
        <v>926</v>
      </c>
      <c r="V12" s="1037" t="s">
        <v>925</v>
      </c>
      <c r="W12" s="1037" t="s">
        <v>924</v>
      </c>
      <c r="X12" s="1037" t="s">
        <v>923</v>
      </c>
      <c r="Y12" s="1037" t="s">
        <v>922</v>
      </c>
      <c r="Z12" s="1037" t="s">
        <v>921</v>
      </c>
      <c r="AA12" s="1037" t="s">
        <v>920</v>
      </c>
      <c r="AB12" s="1037" t="s">
        <v>919</v>
      </c>
      <c r="AC12" s="1037" t="s">
        <v>918</v>
      </c>
      <c r="AD12" s="1037" t="s">
        <v>917</v>
      </c>
      <c r="AE12" s="1037" t="s">
        <v>916</v>
      </c>
      <c r="AF12" s="1037" t="s">
        <v>915</v>
      </c>
      <c r="AG12" s="1037" t="s">
        <v>914</v>
      </c>
      <c r="AH12" s="1037" t="s">
        <v>913</v>
      </c>
      <c r="AI12" s="1037" t="s">
        <v>912</v>
      </c>
      <c r="AJ12" s="1037" t="s">
        <v>911</v>
      </c>
      <c r="AK12" s="1037" t="s">
        <v>910</v>
      </c>
      <c r="AL12" s="1040" t="s">
        <v>909</v>
      </c>
      <c r="AM12" s="1037" t="s">
        <v>908</v>
      </c>
      <c r="AN12" s="1037" t="s">
        <v>907</v>
      </c>
      <c r="AO12" s="1037" t="s">
        <v>906</v>
      </c>
      <c r="AP12" s="1039" t="s">
        <v>905</v>
      </c>
      <c r="AQ12" s="1038">
        <v>2010</v>
      </c>
    </row>
    <row r="13" spans="1:43">
      <c r="A13" s="1041" t="s">
        <v>489</v>
      </c>
      <c r="B13" s="1037" t="s">
        <v>487</v>
      </c>
      <c r="C13" s="1037" t="s">
        <v>487</v>
      </c>
      <c r="D13" s="1037" t="s">
        <v>487</v>
      </c>
      <c r="E13" s="1037" t="s">
        <v>487</v>
      </c>
      <c r="F13" s="1037" t="s">
        <v>487</v>
      </c>
      <c r="G13" s="1037" t="s">
        <v>488</v>
      </c>
      <c r="H13" s="1037" t="s">
        <v>488</v>
      </c>
      <c r="I13" s="1037" t="s">
        <v>487</v>
      </c>
      <c r="J13" s="1037" t="s">
        <v>488</v>
      </c>
      <c r="K13" s="1037" t="s">
        <v>487</v>
      </c>
      <c r="L13" s="1037" t="s">
        <v>488</v>
      </c>
      <c r="M13" s="1037" t="s">
        <v>487</v>
      </c>
      <c r="N13" s="1037" t="s">
        <v>487</v>
      </c>
      <c r="O13" s="1037" t="s">
        <v>487</v>
      </c>
      <c r="P13" s="1037" t="s">
        <v>487</v>
      </c>
      <c r="Q13" s="1037" t="s">
        <v>487</v>
      </c>
      <c r="R13" s="1037" t="s">
        <v>487</v>
      </c>
      <c r="S13" s="1037" t="s">
        <v>487</v>
      </c>
      <c r="T13" s="1037" t="s">
        <v>487</v>
      </c>
      <c r="U13" s="1037" t="s">
        <v>487</v>
      </c>
      <c r="V13" s="1037" t="s">
        <v>487</v>
      </c>
      <c r="W13" s="1037" t="s">
        <v>487</v>
      </c>
      <c r="X13" s="1037" t="s">
        <v>487</v>
      </c>
      <c r="Y13" s="1037" t="s">
        <v>487</v>
      </c>
      <c r="Z13" s="1037" t="s">
        <v>487</v>
      </c>
      <c r="AA13" s="1037" t="s">
        <v>487</v>
      </c>
      <c r="AB13" s="1037" t="s">
        <v>487</v>
      </c>
      <c r="AC13" s="1037" t="s">
        <v>487</v>
      </c>
      <c r="AD13" s="1037" t="s">
        <v>487</v>
      </c>
      <c r="AE13" s="1037" t="s">
        <v>487</v>
      </c>
      <c r="AF13" s="1037" t="s">
        <v>487</v>
      </c>
      <c r="AG13" s="1037" t="s">
        <v>487</v>
      </c>
      <c r="AH13" s="1037" t="s">
        <v>487</v>
      </c>
      <c r="AI13" s="1037" t="s">
        <v>487</v>
      </c>
      <c r="AJ13" s="1037" t="s">
        <v>487</v>
      </c>
      <c r="AK13" s="1037" t="s">
        <v>487</v>
      </c>
      <c r="AL13" s="1040" t="s">
        <v>487</v>
      </c>
      <c r="AM13" s="1037" t="s">
        <v>487</v>
      </c>
      <c r="AN13" s="1037" t="s">
        <v>487</v>
      </c>
      <c r="AO13" s="1037" t="s">
        <v>487</v>
      </c>
      <c r="AP13" s="1039" t="s">
        <v>487</v>
      </c>
      <c r="AQ13" s="1038" t="s">
        <v>904</v>
      </c>
    </row>
    <row r="14" spans="1:43">
      <c r="A14" s="1041" t="s">
        <v>628</v>
      </c>
    </row>
    <row r="15" spans="1:43">
      <c r="A15" s="1041" t="s">
        <v>627</v>
      </c>
    </row>
    <row r="16" spans="1:43">
      <c r="A16" s="1041" t="s">
        <v>626</v>
      </c>
      <c r="B16" s="1037">
        <v>31.7</v>
      </c>
      <c r="C16" s="1037">
        <v>14.1</v>
      </c>
      <c r="D16" s="1037">
        <v>31.8</v>
      </c>
      <c r="F16" s="1037">
        <v>22.7</v>
      </c>
      <c r="G16" s="1037">
        <v>18.8</v>
      </c>
      <c r="H16" s="1037">
        <v>25</v>
      </c>
      <c r="J16" s="1037">
        <v>16.600000000000001</v>
      </c>
      <c r="K16" s="1037">
        <v>4.9000000000000004</v>
      </c>
      <c r="O16" s="1037">
        <v>12.9</v>
      </c>
      <c r="P16" s="1037">
        <v>-9.4</v>
      </c>
    </row>
    <row r="17" spans="1:46">
      <c r="A17" s="1041" t="s">
        <v>903</v>
      </c>
      <c r="O17" s="1037">
        <v>20.7</v>
      </c>
      <c r="U17" s="1037">
        <v>44.9</v>
      </c>
      <c r="V17" s="1037">
        <v>52.5</v>
      </c>
      <c r="AS17" s="1037" t="s">
        <v>902</v>
      </c>
    </row>
    <row r="18" spans="1:46">
      <c r="A18" s="1041" t="s">
        <v>867</v>
      </c>
      <c r="U18" s="1037">
        <v>3056</v>
      </c>
      <c r="AA18" s="1037">
        <v>2974</v>
      </c>
      <c r="AE18" s="1037">
        <v>3009</v>
      </c>
      <c r="AS18" s="1037" t="s">
        <v>901</v>
      </c>
    </row>
    <row r="19" spans="1:46">
      <c r="A19" s="1041" t="s">
        <v>900</v>
      </c>
      <c r="AA19" s="1037">
        <v>-21</v>
      </c>
      <c r="AE19" s="1037">
        <v>10</v>
      </c>
      <c r="AS19" s="1037" t="s">
        <v>899</v>
      </c>
      <c r="AT19" s="1037" t="s">
        <v>752</v>
      </c>
    </row>
    <row r="20" spans="1:46">
      <c r="A20" s="1041" t="s">
        <v>310</v>
      </c>
      <c r="B20" s="1037">
        <v>1491.9</v>
      </c>
      <c r="C20" s="1037">
        <v>1519.9</v>
      </c>
      <c r="D20" s="1037">
        <v>1550.1</v>
      </c>
      <c r="F20" s="1037">
        <v>1620.6</v>
      </c>
      <c r="G20" s="1037">
        <v>1640.5</v>
      </c>
      <c r="H20" s="1037">
        <v>1684.4</v>
      </c>
      <c r="J20" s="1037">
        <v>1855.4</v>
      </c>
      <c r="K20" s="1037">
        <v>1927.9</v>
      </c>
      <c r="L20" s="1037">
        <v>2085.5</v>
      </c>
      <c r="N20" s="1037">
        <v>2325.1999999999998</v>
      </c>
      <c r="O20" s="1037">
        <v>2533.1999999999998</v>
      </c>
      <c r="P20" s="1037">
        <v>2608.1999999999998</v>
      </c>
      <c r="R20" s="1037">
        <v>2794</v>
      </c>
      <c r="S20" s="1037">
        <v>2861.6</v>
      </c>
      <c r="T20" s="1037">
        <v>2955</v>
      </c>
      <c r="U20" s="1037">
        <v>3035.1</v>
      </c>
      <c r="V20" s="1037">
        <v>3018.5</v>
      </c>
      <c r="W20" s="1037">
        <v>3042.8</v>
      </c>
      <c r="X20" s="1037">
        <v>3019</v>
      </c>
      <c r="Y20" s="1037">
        <v>2970</v>
      </c>
      <c r="Z20" s="1037">
        <v>2974</v>
      </c>
      <c r="AA20" s="1037">
        <v>2995</v>
      </c>
      <c r="AB20" s="1037">
        <v>2985</v>
      </c>
      <c r="AC20" s="1037">
        <v>2964</v>
      </c>
      <c r="AD20" s="1037">
        <v>2978</v>
      </c>
      <c r="AE20" s="1037">
        <v>3019</v>
      </c>
      <c r="AF20" s="1037">
        <v>2976</v>
      </c>
      <c r="AG20" s="1037">
        <v>2986</v>
      </c>
      <c r="AH20" s="1037">
        <v>2964</v>
      </c>
      <c r="AI20" s="1037">
        <v>2826</v>
      </c>
      <c r="AJ20" s="1037">
        <v>2828</v>
      </c>
      <c r="AK20" s="1037">
        <v>2836</v>
      </c>
      <c r="AL20" s="1040">
        <f>VLOOKUP('2010 Q IS'!A20,'Actual IS'!$A$17:$L$150,11,FALSE)-SUM(AI20:AK20)</f>
        <v>2841</v>
      </c>
      <c r="AM20" s="1037">
        <v>2782</v>
      </c>
      <c r="AN20" s="1037">
        <v>2799</v>
      </c>
      <c r="AO20" s="1037">
        <v>2798</v>
      </c>
      <c r="AP20" s="1044">
        <v>2836</v>
      </c>
      <c r="AQ20" s="1042">
        <f t="shared" ref="AQ20:AQ29" si="0">SUM(AM20:AP20)</f>
        <v>11215</v>
      </c>
      <c r="AS20" s="1037">
        <f>STDEV(AF20:AP20)</f>
        <v>75.813527217053476</v>
      </c>
      <c r="AT20" s="1037">
        <f>AS20/AP20</f>
        <v>2.673255543619657E-2</v>
      </c>
    </row>
    <row r="21" spans="1:46">
      <c r="A21" s="1041" t="s">
        <v>311</v>
      </c>
      <c r="B21" s="1037">
        <v>237.6</v>
      </c>
      <c r="C21" s="1037">
        <v>233.9</v>
      </c>
      <c r="D21" s="1037">
        <v>240.8</v>
      </c>
      <c r="F21" s="1037">
        <v>244.7</v>
      </c>
      <c r="G21" s="1037">
        <v>248.4</v>
      </c>
      <c r="H21" s="1037">
        <v>244.4</v>
      </c>
      <c r="J21" s="1037">
        <v>242.5</v>
      </c>
      <c r="K21" s="1037">
        <v>249.8</v>
      </c>
      <c r="L21" s="1037">
        <v>252.9</v>
      </c>
      <c r="N21" s="1037">
        <v>257</v>
      </c>
      <c r="O21" s="1037">
        <v>271.7</v>
      </c>
      <c r="P21" s="1037">
        <v>287.89999999999998</v>
      </c>
      <c r="R21" s="1037">
        <v>295.89999999999998</v>
      </c>
      <c r="S21" s="1037">
        <v>308.60000000000002</v>
      </c>
      <c r="T21" s="1037">
        <v>316.7</v>
      </c>
      <c r="U21" s="1037">
        <v>334.2</v>
      </c>
      <c r="V21" s="1037">
        <v>348.8</v>
      </c>
      <c r="W21" s="1037">
        <v>356.1</v>
      </c>
      <c r="X21" s="1037">
        <v>381</v>
      </c>
      <c r="Y21" s="1037">
        <v>392</v>
      </c>
      <c r="Z21" s="1037">
        <v>399</v>
      </c>
      <c r="AA21" s="1037">
        <v>378</v>
      </c>
      <c r="AB21" s="1037">
        <v>414</v>
      </c>
      <c r="AC21" s="1037">
        <v>431</v>
      </c>
      <c r="AD21" s="1037">
        <v>446</v>
      </c>
      <c r="AE21" s="1037">
        <v>414</v>
      </c>
      <c r="AF21" s="1037">
        <v>439</v>
      </c>
      <c r="AG21" s="1037">
        <v>438</v>
      </c>
      <c r="AH21" s="1037">
        <v>439</v>
      </c>
      <c r="AI21" s="1037">
        <v>402</v>
      </c>
      <c r="AJ21" s="1037">
        <v>408</v>
      </c>
      <c r="AK21" s="1037">
        <v>414</v>
      </c>
      <c r="AL21" s="1040">
        <f>VLOOKUP('2010 Q IS'!A21,'Actual IS'!A18:L151,11,FALSE)-SUM(AI21:AK21)</f>
        <v>425</v>
      </c>
      <c r="AM21" s="1037">
        <v>410</v>
      </c>
      <c r="AN21" s="1037">
        <v>426</v>
      </c>
      <c r="AO21" s="1037">
        <v>412</v>
      </c>
      <c r="AP21" s="1043">
        <v>561</v>
      </c>
      <c r="AQ21" s="1042">
        <f>SUM(AM21:AP21)</f>
        <v>1809</v>
      </c>
      <c r="AS21" s="1037">
        <f>STDEV(AF21:AP21)</f>
        <v>44.158804331639232</v>
      </c>
      <c r="AT21" s="1037">
        <f>AS21/AP21</f>
        <v>7.8714446223955847E-2</v>
      </c>
    </row>
    <row r="22" spans="1:46">
      <c r="A22" s="1041" t="s">
        <v>625</v>
      </c>
      <c r="L22" s="1037">
        <v>-17.899999999999999</v>
      </c>
      <c r="N22" s="1037">
        <v>29.2</v>
      </c>
      <c r="R22" s="1037">
        <v>7.5</v>
      </c>
      <c r="S22" s="1037">
        <v>19</v>
      </c>
      <c r="T22" s="1037">
        <v>24.8</v>
      </c>
      <c r="U22" s="1037">
        <v>34.5</v>
      </c>
      <c r="V22" s="1037">
        <v>31.6</v>
      </c>
      <c r="W22" s="1037">
        <v>-18.5</v>
      </c>
      <c r="Y22" s="1037">
        <v>41</v>
      </c>
      <c r="Z22" s="1037">
        <v>40</v>
      </c>
      <c r="AA22" s="1037">
        <v>4</v>
      </c>
      <c r="AB22" s="1037">
        <v>3</v>
      </c>
      <c r="AC22" s="1037">
        <v>32</v>
      </c>
      <c r="AD22" s="1037">
        <v>8</v>
      </c>
      <c r="AF22" s="1037">
        <v>6</v>
      </c>
      <c r="AG22" s="1037">
        <v>6</v>
      </c>
      <c r="AH22" s="1037">
        <v>13</v>
      </c>
      <c r="AI22" s="1037">
        <v>3</v>
      </c>
      <c r="AJ22" s="1037">
        <v>3</v>
      </c>
      <c r="AK22" s="1037">
        <v>1</v>
      </c>
      <c r="AL22" s="1040">
        <f>VLOOKUP('2010 Q IS'!A22,'Actual IS'!A20:L152,11,FALSE)-SUM(AI22:AK22)</f>
        <v>6</v>
      </c>
      <c r="AM22" s="1037">
        <v>4</v>
      </c>
      <c r="AN22" s="1037">
        <v>3</v>
      </c>
      <c r="AO22" s="1037">
        <v>3</v>
      </c>
      <c r="AP22" s="1039">
        <v>6</v>
      </c>
      <c r="AQ22" s="1042">
        <f t="shared" si="0"/>
        <v>16</v>
      </c>
    </row>
    <row r="23" spans="1:46">
      <c r="A23" s="1041" t="s">
        <v>898</v>
      </c>
      <c r="B23" s="1037">
        <v>5.8</v>
      </c>
      <c r="C23" s="1037">
        <v>6.1</v>
      </c>
      <c r="D23" s="1037">
        <v>35.799999999999997</v>
      </c>
      <c r="F23" s="1037">
        <v>3.5</v>
      </c>
      <c r="G23" s="1037">
        <v>6.8</v>
      </c>
      <c r="H23" s="1037">
        <v>2.5</v>
      </c>
      <c r="J23" s="1037">
        <v>-9.3000000000000007</v>
      </c>
      <c r="K23" s="1037">
        <v>40.9</v>
      </c>
      <c r="L23" s="1037">
        <v>43.9</v>
      </c>
      <c r="N23" s="1037">
        <v>4.5</v>
      </c>
      <c r="P23" s="1037">
        <v>60.5</v>
      </c>
      <c r="R23" s="1037">
        <v>80.900000000000006</v>
      </c>
      <c r="S23" s="1037">
        <v>16.7</v>
      </c>
      <c r="T23" s="1037">
        <v>48.9</v>
      </c>
      <c r="W23" s="1037">
        <v>99</v>
      </c>
      <c r="X23" s="1037">
        <v>106</v>
      </c>
      <c r="Y23" s="1037">
        <v>42</v>
      </c>
      <c r="Z23" s="1037">
        <v>38</v>
      </c>
      <c r="AA23" s="1037">
        <v>40</v>
      </c>
      <c r="AB23" s="1037">
        <v>117</v>
      </c>
      <c r="AC23" s="1037">
        <v>94</v>
      </c>
      <c r="AD23" s="1037">
        <v>117</v>
      </c>
      <c r="AE23" s="1037">
        <v>30</v>
      </c>
      <c r="AF23" s="1037">
        <v>68</v>
      </c>
      <c r="AG23" s="1037">
        <v>-76</v>
      </c>
      <c r="AH23" s="1037">
        <v>-113</v>
      </c>
      <c r="AI23" s="1037">
        <v>-266</v>
      </c>
      <c r="AJ23" s="1037">
        <v>27</v>
      </c>
      <c r="AK23" s="1037">
        <v>69</v>
      </c>
      <c r="AL23" s="1040">
        <f>SUM('Actual IS'!K25:K27)-SUM(AI23:AK23)</f>
        <v>193</v>
      </c>
      <c r="AM23" s="1037">
        <v>127</v>
      </c>
      <c r="AN23" s="1037">
        <v>90</v>
      </c>
      <c r="AO23" s="1037">
        <v>54</v>
      </c>
      <c r="AP23" s="1044">
        <v>101</v>
      </c>
      <c r="AQ23" s="1042">
        <f t="shared" si="0"/>
        <v>372</v>
      </c>
    </row>
    <row r="24" spans="1:46">
      <c r="A24" s="1041" t="s">
        <v>897</v>
      </c>
      <c r="AE24" s="1037">
        <v>3</v>
      </c>
      <c r="AQ24" s="1042">
        <f t="shared" si="0"/>
        <v>0</v>
      </c>
    </row>
    <row r="25" spans="1:46">
      <c r="A25" s="1041" t="s">
        <v>896</v>
      </c>
      <c r="B25" s="1037">
        <v>1767</v>
      </c>
      <c r="C25" s="1037">
        <v>1774</v>
      </c>
      <c r="D25" s="1037">
        <v>1858.5</v>
      </c>
      <c r="F25" s="1037">
        <v>1891.5</v>
      </c>
      <c r="G25" s="1037">
        <v>1914.5</v>
      </c>
      <c r="H25" s="1037">
        <v>1956.3</v>
      </c>
      <c r="J25" s="1037">
        <v>2105.1999999999998</v>
      </c>
      <c r="K25" s="1037">
        <v>2223.5</v>
      </c>
      <c r="L25" s="1037">
        <v>2364.4</v>
      </c>
      <c r="N25" s="1037">
        <v>2615.9</v>
      </c>
      <c r="O25" s="1037">
        <v>2838.5</v>
      </c>
      <c r="P25" s="1037">
        <v>2947.2</v>
      </c>
      <c r="R25" s="1037">
        <v>3178.3</v>
      </c>
      <c r="S25" s="1037">
        <v>3205.9</v>
      </c>
      <c r="T25" s="1037">
        <v>3345.4</v>
      </c>
      <c r="U25" s="1037">
        <v>3448.7</v>
      </c>
      <c r="V25" s="1037">
        <v>3451.4</v>
      </c>
      <c r="W25" s="1037">
        <v>3479.4</v>
      </c>
      <c r="X25" s="1037">
        <v>3506</v>
      </c>
      <c r="Y25" s="1037">
        <v>3445</v>
      </c>
      <c r="Z25" s="1037">
        <v>3451</v>
      </c>
      <c r="AB25" s="1037">
        <v>3519</v>
      </c>
      <c r="AC25" s="1037">
        <v>3521</v>
      </c>
      <c r="AD25" s="1037">
        <v>3549</v>
      </c>
      <c r="AF25" s="1037">
        <v>3489</v>
      </c>
      <c r="AG25" s="1037">
        <v>3354</v>
      </c>
      <c r="AH25" s="1037">
        <v>3303</v>
      </c>
      <c r="AI25" s="1037">
        <v>2965</v>
      </c>
      <c r="AJ25" s="1037">
        <v>3266</v>
      </c>
      <c r="AK25" s="1037">
        <v>3320</v>
      </c>
      <c r="AL25" s="1040">
        <f>VLOOKUP('2010 Q IS'!A25,'Actual IS'!$A$17:$L$150,11,FALSE)-SUM(AI25:AK25)</f>
        <v>3465</v>
      </c>
      <c r="AM25" s="1037">
        <v>3323</v>
      </c>
      <c r="AN25" s="1037">
        <v>3318</v>
      </c>
      <c r="AO25" s="1037">
        <v>3267</v>
      </c>
      <c r="AP25" s="1043">
        <f>SUM(AP20:AP24)</f>
        <v>3504</v>
      </c>
      <c r="AQ25" s="1042">
        <f t="shared" si="0"/>
        <v>13412</v>
      </c>
    </row>
    <row r="26" spans="1:46">
      <c r="A26" s="1041" t="s">
        <v>617</v>
      </c>
      <c r="AL26" s="1040">
        <f>VLOOKUP('2010 Q IS'!A26,'Actual IS'!A24:L156,11,FALSE)-SUM(AI26:AK26)</f>
        <v>0</v>
      </c>
      <c r="AP26" s="1039">
        <v>0</v>
      </c>
      <c r="AQ26" s="1042">
        <f t="shared" si="0"/>
        <v>0</v>
      </c>
    </row>
    <row r="27" spans="1:46">
      <c r="A27" s="1041" t="s">
        <v>895</v>
      </c>
      <c r="U27" s="1037">
        <v>1835</v>
      </c>
      <c r="AQ27" s="1042">
        <f t="shared" si="0"/>
        <v>0</v>
      </c>
    </row>
    <row r="28" spans="1:46">
      <c r="A28" s="1041" t="s">
        <v>894</v>
      </c>
      <c r="AE28" s="1037">
        <v>12</v>
      </c>
      <c r="AQ28" s="1042">
        <f t="shared" si="0"/>
        <v>0</v>
      </c>
    </row>
    <row r="29" spans="1:46">
      <c r="A29" s="1041" t="s">
        <v>893</v>
      </c>
      <c r="AA29" s="1037">
        <v>8</v>
      </c>
      <c r="AE29" s="1037">
        <v>6</v>
      </c>
      <c r="AQ29" s="1042">
        <f t="shared" si="0"/>
        <v>0</v>
      </c>
    </row>
    <row r="30" spans="1:46">
      <c r="A30" s="1049" t="s">
        <v>892</v>
      </c>
      <c r="AG30" s="1037">
        <f t="shared" ref="AG30:AP30" si="1">(SUM(AG31:AG32)/SUM(AG$20:AG$21))</f>
        <v>0.73890186915887845</v>
      </c>
      <c r="AH30" s="1037">
        <f t="shared" si="1"/>
        <v>0.81898325007346462</v>
      </c>
      <c r="AI30" s="1037">
        <f t="shared" si="1"/>
        <v>0.72583643122676578</v>
      </c>
      <c r="AJ30" s="1037">
        <f t="shared" si="1"/>
        <v>0.71971569839307792</v>
      </c>
      <c r="AK30" s="1037">
        <f t="shared" si="1"/>
        <v>0.71046153846153848</v>
      </c>
      <c r="AL30" s="1037">
        <f t="shared" si="1"/>
        <v>0.70667483159828537</v>
      </c>
      <c r="AM30" s="1037">
        <f t="shared" si="1"/>
        <v>0.77380952380952384</v>
      </c>
      <c r="AN30" s="1037">
        <f t="shared" si="1"/>
        <v>0.75193798449612403</v>
      </c>
      <c r="AO30" s="1037">
        <f t="shared" si="1"/>
        <v>0.71526479750778815</v>
      </c>
      <c r="AP30" s="1037">
        <f t="shared" si="1"/>
        <v>0.74654106564615841</v>
      </c>
      <c r="AQ30" s="1037"/>
    </row>
    <row r="31" spans="1:46">
      <c r="A31" s="1049" t="s">
        <v>616</v>
      </c>
      <c r="B31" s="1037">
        <v>1027.4000000000001</v>
      </c>
      <c r="C31" s="1037">
        <v>996.8</v>
      </c>
      <c r="D31" s="1037">
        <v>1032.5999999999999</v>
      </c>
      <c r="F31" s="1037">
        <v>1081</v>
      </c>
      <c r="G31" s="1037">
        <v>1143.0999999999999</v>
      </c>
      <c r="H31" s="1037">
        <v>1772.4</v>
      </c>
      <c r="J31" s="1037">
        <v>1190.5</v>
      </c>
      <c r="K31" s="1037">
        <v>1270.5</v>
      </c>
      <c r="L31" s="1037">
        <v>2052</v>
      </c>
      <c r="N31" s="1037">
        <v>1505.5</v>
      </c>
      <c r="O31" s="1037">
        <v>1633.2</v>
      </c>
      <c r="P31" s="1037">
        <v>1711.3</v>
      </c>
      <c r="R31" s="1037">
        <v>1740.6</v>
      </c>
      <c r="S31" s="1037">
        <v>1805.9</v>
      </c>
      <c r="T31" s="1037">
        <v>1881.8</v>
      </c>
      <c r="V31" s="1037">
        <v>1818.9</v>
      </c>
      <c r="W31" s="1037">
        <v>2260.4</v>
      </c>
      <c r="X31" s="1037">
        <v>1618</v>
      </c>
      <c r="Y31" s="1037">
        <v>1679</v>
      </c>
      <c r="Z31" s="1037">
        <v>1687</v>
      </c>
      <c r="AA31" s="1037">
        <v>1590</v>
      </c>
      <c r="AB31" s="1037">
        <v>1580</v>
      </c>
      <c r="AC31" s="1037">
        <v>1572</v>
      </c>
      <c r="AD31" s="1037">
        <v>1541</v>
      </c>
      <c r="AE31" s="1037">
        <v>1606</v>
      </c>
      <c r="AF31" s="1037">
        <v>1584</v>
      </c>
      <c r="AG31" s="1037">
        <v>1749</v>
      </c>
      <c r="AH31" s="1037">
        <v>2006</v>
      </c>
      <c r="AI31" s="1037">
        <v>1615</v>
      </c>
      <c r="AJ31" s="1037">
        <v>1572</v>
      </c>
      <c r="AK31" s="1037">
        <v>1534</v>
      </c>
      <c r="AL31" s="1040">
        <f>VLOOKUP('2010 Q IS'!A31,'Actual IS'!$A$17:$L$150,11,FALSE)-SUM(AI31:AK31)</f>
        <v>1547</v>
      </c>
      <c r="AM31" s="1037">
        <v>1730</v>
      </c>
      <c r="AN31" s="1037">
        <v>1660</v>
      </c>
      <c r="AO31" s="1037">
        <v>1522</v>
      </c>
      <c r="AP31" s="1044">
        <v>1655</v>
      </c>
      <c r="AQ31" s="1042">
        <v>6499</v>
      </c>
    </row>
    <row r="32" spans="1:46">
      <c r="A32" s="1049" t="s">
        <v>615</v>
      </c>
      <c r="B32" s="1037">
        <v>402.5</v>
      </c>
      <c r="C32" s="1037">
        <v>406.7</v>
      </c>
      <c r="D32" s="1037">
        <v>410.7</v>
      </c>
      <c r="F32" s="1037">
        <v>439.2</v>
      </c>
      <c r="G32" s="1037">
        <v>444</v>
      </c>
      <c r="H32" s="1037">
        <v>433.9</v>
      </c>
      <c r="J32" s="1037">
        <v>473</v>
      </c>
      <c r="K32" s="1037">
        <v>504.8</v>
      </c>
      <c r="L32" s="1037">
        <v>524.79999999999995</v>
      </c>
      <c r="N32" s="1037">
        <v>580.1</v>
      </c>
      <c r="O32" s="1037">
        <v>630.29999999999995</v>
      </c>
      <c r="P32" s="1037">
        <v>653.29999999999995</v>
      </c>
      <c r="R32" s="1037">
        <v>687.2</v>
      </c>
      <c r="S32" s="1037">
        <v>703</v>
      </c>
      <c r="T32" s="1037">
        <v>720.6</v>
      </c>
      <c r="U32" s="1037">
        <v>730.9</v>
      </c>
      <c r="V32" s="1037">
        <v>743.4</v>
      </c>
      <c r="W32" s="1037">
        <v>717.1</v>
      </c>
      <c r="X32" s="1037">
        <v>733</v>
      </c>
      <c r="Y32" s="1037">
        <v>713</v>
      </c>
      <c r="Z32" s="1037">
        <v>711</v>
      </c>
      <c r="AA32" s="1037">
        <v>21</v>
      </c>
      <c r="AB32" s="1037">
        <v>764</v>
      </c>
      <c r="AC32" s="1037">
        <v>746</v>
      </c>
      <c r="AD32" s="1037">
        <v>763</v>
      </c>
      <c r="AF32" s="1037">
        <v>774</v>
      </c>
      <c r="AG32" s="1037">
        <v>781</v>
      </c>
      <c r="AH32" s="1037">
        <v>781</v>
      </c>
      <c r="AI32" s="1037">
        <v>728</v>
      </c>
      <c r="AJ32" s="1037">
        <v>757</v>
      </c>
      <c r="AK32" s="1037">
        <v>775</v>
      </c>
      <c r="AL32" s="1040">
        <f>VLOOKUP('2010 Q IS'!A32,'Actual IS'!$A$17:$L$150,11,FALSE)-SUM(AI32:AK32)</f>
        <v>761</v>
      </c>
      <c r="AM32" s="1037">
        <v>740</v>
      </c>
      <c r="AN32" s="1037">
        <v>765</v>
      </c>
      <c r="AO32" s="1037">
        <v>774</v>
      </c>
      <c r="AP32" s="1044">
        <v>881</v>
      </c>
      <c r="AQ32" s="1042">
        <v>3496</v>
      </c>
    </row>
    <row r="33" spans="1:43">
      <c r="A33" s="1041" t="s">
        <v>614</v>
      </c>
      <c r="B33" s="1037">
        <v>104.6</v>
      </c>
      <c r="C33" s="1037">
        <v>108.6</v>
      </c>
      <c r="D33" s="1037">
        <v>116.6</v>
      </c>
      <c r="F33" s="1037">
        <v>118.4</v>
      </c>
      <c r="G33" s="1037">
        <v>115.2</v>
      </c>
      <c r="H33" s="1037">
        <v>130.4</v>
      </c>
      <c r="J33" s="1037">
        <v>145.30000000000001</v>
      </c>
      <c r="K33" s="1037">
        <v>131.1</v>
      </c>
      <c r="L33" s="1037">
        <v>158.4</v>
      </c>
      <c r="N33" s="1037">
        <v>177</v>
      </c>
      <c r="O33" s="1037">
        <v>182.6</v>
      </c>
      <c r="P33" s="1037">
        <v>173.9</v>
      </c>
      <c r="R33" s="1037">
        <v>188.8</v>
      </c>
      <c r="S33" s="1037">
        <v>159.19999999999999</v>
      </c>
      <c r="T33" s="1037">
        <v>160.4</v>
      </c>
      <c r="U33" s="1037">
        <v>153.19999999999999</v>
      </c>
      <c r="V33" s="1037">
        <v>125.7</v>
      </c>
      <c r="W33" s="1037">
        <v>125</v>
      </c>
      <c r="X33" s="1037">
        <v>127</v>
      </c>
      <c r="Y33" s="1037">
        <v>133</v>
      </c>
      <c r="Z33" s="1037">
        <v>140</v>
      </c>
      <c r="AA33" s="1037">
        <v>887</v>
      </c>
      <c r="AB33" s="1037">
        <v>113</v>
      </c>
      <c r="AC33" s="1037">
        <v>109</v>
      </c>
      <c r="AD33" s="1037">
        <v>109</v>
      </c>
      <c r="AE33" s="1037">
        <v>915</v>
      </c>
      <c r="AF33" s="1037">
        <v>116</v>
      </c>
      <c r="AG33" s="1037">
        <v>110</v>
      </c>
      <c r="AH33" s="1037">
        <v>104</v>
      </c>
      <c r="AI33" s="1037">
        <v>103</v>
      </c>
      <c r="AJ33" s="1037">
        <v>102</v>
      </c>
      <c r="AK33" s="1037">
        <v>116</v>
      </c>
      <c r="AL33" s="1040">
        <f>VLOOKUP('2010 Q IS'!A33,'Actual IS'!$A$17:$L$150,11,FALSE)-SUM(AI33:AK33)</f>
        <v>95</v>
      </c>
      <c r="AM33" s="1037">
        <v>115</v>
      </c>
      <c r="AN33" s="1037">
        <v>107</v>
      </c>
      <c r="AO33" s="1037">
        <v>105</v>
      </c>
      <c r="AP33" s="1039">
        <v>95</v>
      </c>
      <c r="AQ33" s="1042">
        <f>SUM(AM33:AP33)</f>
        <v>422</v>
      </c>
    </row>
    <row r="34" spans="1:43">
      <c r="A34" s="1049" t="s">
        <v>892</v>
      </c>
      <c r="AL34" s="1037">
        <f>(SUM(AL35:AL44)/SUM(AL$20:AL$21))</f>
        <v>2.8169014084507043E-2</v>
      </c>
      <c r="AM34" s="1037">
        <f>(SUM(AM35:AM44)/SUM(AM$20:AM$21))</f>
        <v>2.819548872180451E-2</v>
      </c>
      <c r="AN34" s="1037">
        <f>(SUM(AN35:AN44)/SUM(AN$20:AN$21))</f>
        <v>2.6046511627906978E-2</v>
      </c>
      <c r="AO34" s="1037">
        <f>(SUM(AO35:AO44)/SUM(AO$20:AO$21))</f>
        <v>2.5545171339563862E-2</v>
      </c>
      <c r="AP34" s="1037"/>
      <c r="AQ34" s="1037"/>
    </row>
    <row r="35" spans="1:43">
      <c r="A35" s="1049" t="s">
        <v>613</v>
      </c>
      <c r="B35" s="1037">
        <v>5.2</v>
      </c>
      <c r="C35" s="1037">
        <v>3.3</v>
      </c>
      <c r="D35" s="1037">
        <v>3</v>
      </c>
      <c r="F35" s="1037">
        <v>5.4</v>
      </c>
      <c r="G35" s="1037">
        <v>2.8</v>
      </c>
      <c r="H35" s="1037">
        <v>3.6</v>
      </c>
      <c r="J35" s="1037">
        <v>5.6</v>
      </c>
      <c r="K35" s="1037">
        <v>5.3</v>
      </c>
      <c r="L35" s="1037">
        <v>8.4</v>
      </c>
      <c r="N35" s="1037">
        <v>10.199999999999999</v>
      </c>
      <c r="O35" s="1037">
        <v>6.2</v>
      </c>
      <c r="P35" s="1037">
        <v>5</v>
      </c>
      <c r="R35" s="1037">
        <v>7.3</v>
      </c>
      <c r="S35" s="1037">
        <v>6.1</v>
      </c>
      <c r="T35" s="1037">
        <v>5.3</v>
      </c>
      <c r="U35" s="1037">
        <v>8.5</v>
      </c>
      <c r="V35" s="1037">
        <v>7.1</v>
      </c>
      <c r="X35" s="1037">
        <v>10</v>
      </c>
      <c r="Y35" s="1037">
        <v>10</v>
      </c>
      <c r="AB35" s="1037">
        <v>12</v>
      </c>
      <c r="AC35" s="1037">
        <v>7</v>
      </c>
      <c r="AD35" s="1037">
        <v>8</v>
      </c>
      <c r="AF35" s="1037">
        <v>9</v>
      </c>
      <c r="AG35" s="1037">
        <v>8</v>
      </c>
      <c r="AH35" s="1037">
        <v>8</v>
      </c>
      <c r="AI35" s="1037">
        <v>9</v>
      </c>
      <c r="AJ35" s="1037">
        <v>7</v>
      </c>
      <c r="AK35" s="1037">
        <v>11</v>
      </c>
      <c r="AL35" s="1040">
        <f>VLOOKUP('2010 Q IS'!A35,'Actual IS'!$A$17:$L$150,11,FALSE)-SUM(AI35:AK35)</f>
        <v>12</v>
      </c>
      <c r="AM35" s="1037">
        <v>10</v>
      </c>
      <c r="AN35" s="1037">
        <v>8</v>
      </c>
      <c r="AO35" s="1037">
        <v>9</v>
      </c>
      <c r="AP35" s="1039">
        <v>12</v>
      </c>
      <c r="AQ35" s="1042">
        <f t="shared" ref="AQ35:AQ50" si="2">SUM(AM35:AP35)</f>
        <v>39</v>
      </c>
    </row>
    <row r="36" spans="1:43">
      <c r="A36" s="1049" t="s">
        <v>891</v>
      </c>
      <c r="B36" s="1037">
        <v>32.6</v>
      </c>
      <c r="C36" s="1037">
        <v>14.9</v>
      </c>
      <c r="AQ36" s="1042">
        <f t="shared" si="2"/>
        <v>0</v>
      </c>
    </row>
    <row r="37" spans="1:43">
      <c r="A37" s="1049" t="s">
        <v>890</v>
      </c>
      <c r="D37" s="1037">
        <v>19.399999999999999</v>
      </c>
      <c r="F37" s="1037">
        <v>18.5</v>
      </c>
      <c r="G37" s="1037">
        <v>21.4</v>
      </c>
      <c r="H37" s="1037">
        <v>25.2</v>
      </c>
      <c r="J37" s="1037">
        <v>18.100000000000001</v>
      </c>
      <c r="K37" s="1037">
        <v>21.7</v>
      </c>
      <c r="O37" s="1037">
        <v>19.899999999999999</v>
      </c>
      <c r="P37" s="1037">
        <v>30.4</v>
      </c>
      <c r="AQ37" s="1042">
        <f t="shared" si="2"/>
        <v>0</v>
      </c>
    </row>
    <row r="38" spans="1:43">
      <c r="A38" s="1049" t="s">
        <v>889</v>
      </c>
      <c r="L38" s="1037">
        <v>25.9</v>
      </c>
      <c r="T38" s="1037">
        <v>28.7</v>
      </c>
      <c r="U38" s="1037">
        <v>59.9</v>
      </c>
      <c r="V38" s="1037">
        <v>25.9</v>
      </c>
      <c r="AQ38" s="1042">
        <f t="shared" si="2"/>
        <v>0</v>
      </c>
    </row>
    <row r="39" spans="1:43">
      <c r="A39" s="1049" t="s">
        <v>612</v>
      </c>
      <c r="C39" s="1052"/>
      <c r="D39" s="1051"/>
      <c r="E39" s="1051"/>
      <c r="F39" s="1051"/>
      <c r="G39" s="1051"/>
      <c r="H39" s="1051"/>
      <c r="I39" s="1051"/>
      <c r="J39" s="1051"/>
      <c r="K39" s="1051"/>
      <c r="L39" s="1050">
        <v>314.39999999999998</v>
      </c>
      <c r="N39" s="1037">
        <v>17</v>
      </c>
      <c r="R39" s="1037">
        <v>27.2</v>
      </c>
      <c r="S39" s="1037">
        <v>25.8</v>
      </c>
      <c r="X39" s="1037">
        <v>16</v>
      </c>
      <c r="Y39" s="1037">
        <v>28</v>
      </c>
      <c r="Z39" s="1037">
        <v>29</v>
      </c>
      <c r="AB39" s="1037">
        <v>4</v>
      </c>
      <c r="AC39" s="1037">
        <v>33</v>
      </c>
      <c r="AD39" s="1037">
        <v>7</v>
      </c>
      <c r="AF39" s="1037">
        <v>12</v>
      </c>
      <c r="AG39" s="1037">
        <v>5</v>
      </c>
      <c r="AH39" s="1037">
        <v>13</v>
      </c>
      <c r="AI39" s="1037">
        <v>3</v>
      </c>
      <c r="AJ39" s="1037">
        <v>4</v>
      </c>
      <c r="AK39" s="1037">
        <v>2</v>
      </c>
      <c r="AL39" s="1040">
        <f>VLOOKUP('2010 Q IS'!A39,'Actual IS'!A35:L167,11,FALSE)-SUM(AI39:AK39)</f>
        <v>7</v>
      </c>
      <c r="AM39" s="1037">
        <v>4</v>
      </c>
      <c r="AN39" s="1037">
        <v>4</v>
      </c>
      <c r="AO39" s="1037">
        <v>3</v>
      </c>
      <c r="AP39" s="1039">
        <v>7</v>
      </c>
      <c r="AQ39" s="1042">
        <f t="shared" si="2"/>
        <v>18</v>
      </c>
    </row>
    <row r="40" spans="1:43">
      <c r="A40" s="1049" t="s">
        <v>613</v>
      </c>
      <c r="B40" s="1037" t="s">
        <v>465</v>
      </c>
      <c r="C40" s="1037">
        <v>175.8</v>
      </c>
      <c r="D40" s="1037">
        <v>172.9</v>
      </c>
      <c r="E40" s="1037">
        <v>181.3</v>
      </c>
      <c r="F40" s="1037">
        <v>193.2</v>
      </c>
      <c r="G40" s="1037">
        <v>204.2</v>
      </c>
      <c r="H40" s="1037">
        <v>422.4</v>
      </c>
      <c r="I40" s="1037">
        <v>400.3</v>
      </c>
      <c r="J40" s="1037">
        <v>366.8</v>
      </c>
      <c r="K40" s="1037">
        <v>353</v>
      </c>
      <c r="L40" s="1037">
        <v>317.3</v>
      </c>
      <c r="W40" s="1037">
        <v>6.7</v>
      </c>
      <c r="AQ40" s="1042">
        <f t="shared" si="2"/>
        <v>0</v>
      </c>
    </row>
    <row r="41" spans="1:43">
      <c r="A41" s="1049" t="s">
        <v>612</v>
      </c>
      <c r="W41" s="1037">
        <v>20.6</v>
      </c>
      <c r="AQ41" s="1042">
        <f t="shared" si="2"/>
        <v>0</v>
      </c>
    </row>
    <row r="42" spans="1:43">
      <c r="A42" s="1049" t="s">
        <v>611</v>
      </c>
      <c r="W42" s="1037">
        <v>45.4</v>
      </c>
      <c r="AQ42" s="1042">
        <f t="shared" si="2"/>
        <v>0</v>
      </c>
    </row>
    <row r="43" spans="1:43">
      <c r="A43" s="1049" t="s">
        <v>613</v>
      </c>
      <c r="Z43" s="1037">
        <v>6</v>
      </c>
      <c r="AQ43" s="1042">
        <f t="shared" si="2"/>
        <v>0</v>
      </c>
    </row>
    <row r="44" spans="1:43">
      <c r="A44" s="1049" t="s">
        <v>611</v>
      </c>
      <c r="B44" s="1037">
        <v>20.6</v>
      </c>
      <c r="C44" s="1037">
        <v>19.5</v>
      </c>
      <c r="D44" s="1037">
        <v>19.100000000000001</v>
      </c>
      <c r="F44" s="1037">
        <v>19.600000000000001</v>
      </c>
      <c r="G44" s="1037">
        <v>21.8</v>
      </c>
      <c r="H44" s="1037">
        <v>18.2</v>
      </c>
      <c r="J44" s="1037">
        <v>27.8</v>
      </c>
      <c r="K44" s="1037">
        <v>28.5</v>
      </c>
      <c r="L44" s="1037">
        <v>27.5</v>
      </c>
      <c r="N44" s="1037">
        <v>43.9</v>
      </c>
      <c r="O44" s="1037">
        <v>37.4</v>
      </c>
      <c r="P44" s="1037">
        <v>35.6</v>
      </c>
      <c r="R44" s="1037">
        <v>38.200000000000003</v>
      </c>
      <c r="S44" s="1037">
        <v>39.6</v>
      </c>
      <c r="T44" s="1037">
        <v>68.5</v>
      </c>
      <c r="U44" s="1037">
        <v>49.4</v>
      </c>
      <c r="V44" s="1037">
        <v>46.4</v>
      </c>
      <c r="X44" s="1037">
        <v>50</v>
      </c>
      <c r="Y44" s="1037">
        <v>48</v>
      </c>
      <c r="Z44" s="1037">
        <v>47</v>
      </c>
      <c r="AA44" s="1037">
        <v>22</v>
      </c>
      <c r="AB44" s="1037">
        <v>45</v>
      </c>
      <c r="AC44" s="1037">
        <v>67</v>
      </c>
      <c r="AD44" s="1037">
        <v>74</v>
      </c>
      <c r="AE44" s="1037">
        <v>-41</v>
      </c>
      <c r="AF44" s="1037">
        <v>65</v>
      </c>
      <c r="AG44" s="1037">
        <v>72</v>
      </c>
      <c r="AH44" s="1037">
        <v>73</v>
      </c>
      <c r="AI44" s="1037">
        <v>77</v>
      </c>
      <c r="AJ44" s="1037">
        <v>71</v>
      </c>
      <c r="AK44" s="1037">
        <v>73</v>
      </c>
      <c r="AL44" s="1040">
        <f>294-SUM(AI44:AK44)</f>
        <v>73</v>
      </c>
      <c r="AM44" s="1037">
        <v>76</v>
      </c>
      <c r="AN44" s="1037">
        <v>72</v>
      </c>
      <c r="AO44" s="1037">
        <v>70</v>
      </c>
      <c r="AP44" s="1039">
        <v>73</v>
      </c>
      <c r="AQ44" s="1042">
        <f t="shared" si="2"/>
        <v>291</v>
      </c>
    </row>
    <row r="45" spans="1:43">
      <c r="A45" s="1041" t="s">
        <v>888</v>
      </c>
      <c r="B45" s="1037">
        <v>1592.9</v>
      </c>
      <c r="C45" s="1037">
        <v>1549.8</v>
      </c>
      <c r="D45" s="1037">
        <v>1601.4</v>
      </c>
      <c r="F45" s="1037">
        <v>1682.1</v>
      </c>
      <c r="G45" s="1037">
        <v>1748.3</v>
      </c>
      <c r="H45" s="1037">
        <v>2383.6999999999998</v>
      </c>
      <c r="J45" s="1037">
        <v>1860.3</v>
      </c>
      <c r="K45" s="1037">
        <v>1961.9</v>
      </c>
      <c r="L45" s="1037">
        <v>2797</v>
      </c>
      <c r="N45" s="1037">
        <v>2333.6999999999998</v>
      </c>
      <c r="O45" s="1037">
        <v>2509.6</v>
      </c>
      <c r="P45" s="1037">
        <v>2609.5</v>
      </c>
      <c r="R45" s="1037">
        <v>2689.3</v>
      </c>
      <c r="S45" s="1037">
        <v>2739.6</v>
      </c>
      <c r="T45" s="1037">
        <v>2865.3</v>
      </c>
      <c r="U45" s="1037">
        <v>2836.9</v>
      </c>
      <c r="V45" s="1037">
        <v>2767.4</v>
      </c>
      <c r="W45" s="1037">
        <v>3175.2</v>
      </c>
      <c r="X45" s="1037">
        <v>2554</v>
      </c>
      <c r="Y45" s="1037">
        <v>2611</v>
      </c>
      <c r="Z45" s="1037">
        <v>2620</v>
      </c>
      <c r="AB45" s="1037">
        <v>2518</v>
      </c>
      <c r="AC45" s="1037">
        <v>2534</v>
      </c>
      <c r="AD45" s="1037">
        <v>2502</v>
      </c>
      <c r="AF45" s="1037">
        <v>2560</v>
      </c>
      <c r="AG45" s="1037">
        <v>2725</v>
      </c>
      <c r="AH45" s="1037">
        <v>2985</v>
      </c>
      <c r="AI45" s="1037">
        <v>2535</v>
      </c>
      <c r="AJ45" s="1037">
        <v>2513</v>
      </c>
      <c r="AK45" s="1037">
        <v>2511</v>
      </c>
      <c r="AL45" s="1040">
        <f>10054-SUM(AI45:AK45)</f>
        <v>2495</v>
      </c>
      <c r="AM45" s="1037">
        <v>2675</v>
      </c>
      <c r="AN45" s="1037">
        <v>2616</v>
      </c>
      <c r="AO45" s="1037">
        <v>2483</v>
      </c>
      <c r="AP45" s="1043">
        <f>SUM(AP31:AP44)</f>
        <v>2723</v>
      </c>
      <c r="AQ45" s="1042">
        <f>SUM(AM45:AP45)</f>
        <v>10497</v>
      </c>
    </row>
    <row r="46" spans="1:43">
      <c r="A46" s="1041" t="s">
        <v>887</v>
      </c>
      <c r="B46" s="1037">
        <v>174.1</v>
      </c>
      <c r="C46" s="1037">
        <v>224.2</v>
      </c>
      <c r="D46" s="1037">
        <v>257.10000000000002</v>
      </c>
      <c r="F46" s="1037">
        <v>209.4</v>
      </c>
      <c r="G46" s="1037">
        <v>166.2</v>
      </c>
      <c r="H46" s="1037">
        <v>-427.4</v>
      </c>
      <c r="J46" s="1037">
        <v>244.9</v>
      </c>
      <c r="K46" s="1037">
        <v>261.60000000000002</v>
      </c>
      <c r="L46" s="1037">
        <v>-432.6</v>
      </c>
      <c r="N46" s="1037">
        <v>282.2</v>
      </c>
      <c r="O46" s="1037">
        <v>328.9</v>
      </c>
      <c r="P46" s="1037">
        <v>337.7</v>
      </c>
      <c r="R46" s="1037">
        <v>489</v>
      </c>
      <c r="S46" s="1037">
        <v>466.3</v>
      </c>
      <c r="T46" s="1037">
        <v>480.1</v>
      </c>
      <c r="U46" s="1037">
        <v>611.79999999999995</v>
      </c>
      <c r="V46" s="1037">
        <v>684</v>
      </c>
      <c r="W46" s="1037">
        <v>304.2</v>
      </c>
      <c r="X46" s="1037">
        <v>952</v>
      </c>
      <c r="Y46" s="1037">
        <v>834</v>
      </c>
      <c r="Z46" s="1037">
        <v>831</v>
      </c>
      <c r="AA46" s="1037">
        <v>849</v>
      </c>
      <c r="AB46" s="1037">
        <v>1001</v>
      </c>
      <c r="AC46" s="1037">
        <v>987</v>
      </c>
      <c r="AD46" s="1037">
        <v>1047</v>
      </c>
      <c r="AE46" s="1037">
        <v>856</v>
      </c>
      <c r="AF46" s="1037">
        <v>929</v>
      </c>
      <c r="AG46" s="1037">
        <v>629</v>
      </c>
      <c r="AH46" s="1037">
        <v>318</v>
      </c>
      <c r="AI46" s="1037">
        <v>430</v>
      </c>
      <c r="AJ46" s="1037">
        <v>753</v>
      </c>
      <c r="AK46" s="1037">
        <v>809</v>
      </c>
      <c r="AL46" s="1040">
        <f>'Actual IS'!K39-SUM(AI46:AK46)</f>
        <v>970</v>
      </c>
      <c r="AM46" s="1037">
        <v>648</v>
      </c>
      <c r="AN46" s="1037">
        <v>702</v>
      </c>
      <c r="AO46" s="1037">
        <f>AO25-AO45</f>
        <v>784</v>
      </c>
      <c r="AP46" s="1043">
        <f>AP25-AP45</f>
        <v>781</v>
      </c>
      <c r="AQ46" s="1042">
        <f>SUM(AM46:AP46)</f>
        <v>2915</v>
      </c>
    </row>
    <row r="47" spans="1:43">
      <c r="A47" s="1041" t="s">
        <v>608</v>
      </c>
      <c r="AQ47" s="1042">
        <f t="shared" si="2"/>
        <v>0</v>
      </c>
    </row>
    <row r="48" spans="1:43">
      <c r="A48" s="1041" t="s">
        <v>607</v>
      </c>
      <c r="B48" s="1037">
        <v>20.399999999999999</v>
      </c>
      <c r="C48" s="1037">
        <v>39.6</v>
      </c>
      <c r="D48" s="1037">
        <v>49.2</v>
      </c>
      <c r="F48" s="1037">
        <v>34.4</v>
      </c>
      <c r="G48" s="1037">
        <v>19.399999999999999</v>
      </c>
      <c r="H48" s="1037">
        <v>-188.4</v>
      </c>
      <c r="J48" s="1037">
        <v>46.7</v>
      </c>
      <c r="K48" s="1037">
        <v>51.4</v>
      </c>
      <c r="L48" s="1037">
        <v>-190.5</v>
      </c>
      <c r="N48" s="1037">
        <v>57.6</v>
      </c>
      <c r="O48" s="1037">
        <v>76.8</v>
      </c>
      <c r="P48" s="1037">
        <v>77.900000000000006</v>
      </c>
      <c r="R48" s="1037">
        <v>128.30000000000001</v>
      </c>
      <c r="S48" s="1037">
        <v>110.2</v>
      </c>
      <c r="T48" s="1037">
        <v>116.1</v>
      </c>
      <c r="U48" s="1037">
        <v>142.19999999999999</v>
      </c>
      <c r="V48" s="1037">
        <v>188.5</v>
      </c>
      <c r="W48" s="1037">
        <v>57.8</v>
      </c>
      <c r="X48" s="1037">
        <v>280</v>
      </c>
      <c r="Y48" s="1037">
        <v>236</v>
      </c>
      <c r="Z48" s="1037">
        <v>227</v>
      </c>
      <c r="AA48" s="1037">
        <v>235</v>
      </c>
      <c r="AB48" s="1037">
        <v>291</v>
      </c>
      <c r="AC48" s="1037">
        <v>278</v>
      </c>
      <c r="AD48" s="1037">
        <v>309</v>
      </c>
      <c r="AE48" s="1037">
        <v>236</v>
      </c>
      <c r="AF48" s="1037">
        <v>265</v>
      </c>
      <c r="AG48" s="1037">
        <v>160</v>
      </c>
      <c r="AH48" s="1037">
        <v>54</v>
      </c>
      <c r="AI48" s="1037">
        <v>89</v>
      </c>
      <c r="AJ48" s="1037">
        <v>202</v>
      </c>
      <c r="AK48" s="1037">
        <v>213</v>
      </c>
      <c r="AL48" s="1040">
        <f>'Actual IS'!K41-SUM(AI48:AK48)</f>
        <v>275</v>
      </c>
      <c r="AM48" s="1037">
        <v>184</v>
      </c>
      <c r="AN48" s="1037">
        <v>184</v>
      </c>
      <c r="AO48" s="1037">
        <v>212</v>
      </c>
      <c r="AP48" s="1039">
        <v>262</v>
      </c>
      <c r="AQ48" s="1042">
        <v>842</v>
      </c>
    </row>
    <row r="49" spans="1:44">
      <c r="A49" s="1041" t="s">
        <v>606</v>
      </c>
      <c r="AQ49" s="1042">
        <f t="shared" si="2"/>
        <v>0</v>
      </c>
    </row>
    <row r="50" spans="1:44">
      <c r="A50" s="1041" t="s">
        <v>886</v>
      </c>
      <c r="AE50" s="1037">
        <v>1.6</v>
      </c>
      <c r="AQ50" s="1042">
        <f t="shared" si="2"/>
        <v>0</v>
      </c>
    </row>
    <row r="51" spans="1:44">
      <c r="A51" s="1041" t="s">
        <v>635</v>
      </c>
      <c r="AA51" s="1037">
        <v>1.46</v>
      </c>
      <c r="AP51" s="1044">
        <f>AP46-AP48</f>
        <v>519</v>
      </c>
      <c r="AQ51" s="1042"/>
    </row>
    <row r="52" spans="1:44">
      <c r="A52" s="1041" t="s">
        <v>603</v>
      </c>
      <c r="B52" s="1037">
        <v>0.88</v>
      </c>
      <c r="C52" s="1037">
        <v>1.05</v>
      </c>
      <c r="D52" s="1037">
        <v>1.2</v>
      </c>
      <c r="F52" s="1037">
        <v>1</v>
      </c>
      <c r="G52" s="1037">
        <v>0.84</v>
      </c>
      <c r="H52" s="1037">
        <v>-1.4</v>
      </c>
      <c r="J52" s="1037">
        <v>1.17</v>
      </c>
      <c r="K52" s="1037">
        <v>1.22</v>
      </c>
      <c r="L52" s="1037">
        <v>-1.42</v>
      </c>
      <c r="N52" s="1037">
        <v>1.32</v>
      </c>
      <c r="O52" s="1037">
        <v>1.46</v>
      </c>
      <c r="P52" s="1037">
        <v>1.39</v>
      </c>
      <c r="R52" s="1037">
        <v>1.92</v>
      </c>
      <c r="S52" s="1037">
        <v>1.88</v>
      </c>
      <c r="T52" s="1037">
        <v>1.91</v>
      </c>
      <c r="U52" s="1037">
        <v>2.4300000000000002</v>
      </c>
      <c r="V52" s="1037">
        <v>2.52</v>
      </c>
      <c r="W52" s="1037">
        <v>1.24</v>
      </c>
      <c r="X52" s="1037">
        <v>1.62</v>
      </c>
      <c r="Y52" s="1037">
        <v>1.45</v>
      </c>
      <c r="Z52" s="1037">
        <v>1.47</v>
      </c>
      <c r="AB52" s="1037">
        <v>1.74</v>
      </c>
      <c r="AC52" s="1037">
        <v>1.78</v>
      </c>
      <c r="AD52" s="1037">
        <v>1.9</v>
      </c>
      <c r="AF52" s="1037">
        <v>1.8</v>
      </c>
      <c r="AG52" s="1037">
        <v>1.29</v>
      </c>
      <c r="AH52" s="1037">
        <v>0.74</v>
      </c>
      <c r="AI52" s="1037">
        <v>0.96</v>
      </c>
      <c r="AJ52" s="1037">
        <v>1.55</v>
      </c>
      <c r="AK52" s="1037">
        <v>1.7</v>
      </c>
      <c r="AL52" s="1047">
        <f>'Income Statement'!K21-SUM(AI52:AK52)</f>
        <v>2.0253613253356182</v>
      </c>
      <c r="AM52" s="1037">
        <v>1.39</v>
      </c>
      <c r="AN52" s="1037">
        <v>1.6</v>
      </c>
      <c r="AO52" s="1037">
        <v>1.82</v>
      </c>
      <c r="AQ52" s="1042"/>
    </row>
    <row r="53" spans="1:44">
      <c r="A53" s="1041" t="s">
        <v>602</v>
      </c>
      <c r="B53" s="1037">
        <v>0.87</v>
      </c>
      <c r="C53" s="1037">
        <v>1.02</v>
      </c>
      <c r="D53" s="1037">
        <v>1.17</v>
      </c>
      <c r="F53" s="1037">
        <v>0.97</v>
      </c>
      <c r="G53" s="1037">
        <v>0.83</v>
      </c>
      <c r="H53" s="1037">
        <v>-1.4</v>
      </c>
      <c r="J53" s="1037">
        <v>1.1499999999999999</v>
      </c>
      <c r="K53" s="1037">
        <v>1.2</v>
      </c>
      <c r="L53" s="1037">
        <v>-1.42</v>
      </c>
      <c r="N53" s="1037">
        <v>1.31</v>
      </c>
      <c r="O53" s="1037">
        <v>1.45</v>
      </c>
      <c r="P53" s="1037">
        <v>1.37</v>
      </c>
      <c r="R53" s="1037">
        <v>1.88</v>
      </c>
      <c r="S53" s="1037">
        <v>1.85</v>
      </c>
      <c r="T53" s="1037">
        <v>1.88</v>
      </c>
      <c r="U53" s="1037">
        <v>2.37</v>
      </c>
      <c r="V53" s="1037">
        <v>2.4500000000000002</v>
      </c>
      <c r="W53" s="1037">
        <v>1.2</v>
      </c>
      <c r="X53" s="1037">
        <v>1.58</v>
      </c>
      <c r="Y53" s="1037">
        <v>1.41</v>
      </c>
      <c r="Z53" s="1037">
        <v>1.43</v>
      </c>
      <c r="AA53" s="1037">
        <v>1.56</v>
      </c>
      <c r="AB53" s="1037">
        <v>1.71</v>
      </c>
      <c r="AC53" s="1037">
        <v>1.75</v>
      </c>
      <c r="AD53" s="1037">
        <v>1.87</v>
      </c>
      <c r="AE53" s="1037">
        <v>1.68</v>
      </c>
      <c r="AF53" s="1037">
        <v>1.77</v>
      </c>
      <c r="AG53" s="1037">
        <v>1.27</v>
      </c>
      <c r="AH53" s="1037">
        <v>0.73</v>
      </c>
      <c r="AI53" s="1037">
        <v>0.95</v>
      </c>
      <c r="AJ53" s="1037">
        <v>1.54</v>
      </c>
      <c r="AK53" s="1037">
        <v>1.69</v>
      </c>
      <c r="AL53" s="1047">
        <f>'Income Statement'!K22-SUM(AI53:AK53)</f>
        <v>2.0041359773371106</v>
      </c>
      <c r="AM53" s="1037">
        <v>1.39</v>
      </c>
      <c r="AN53" s="1037">
        <v>1.59</v>
      </c>
      <c r="AO53" s="1037">
        <v>1.8</v>
      </c>
      <c r="AP53" s="1039">
        <f>AP51/307.4</f>
        <v>1.6883539362394275</v>
      </c>
      <c r="AQ53" s="1048"/>
    </row>
    <row r="54" spans="1:44">
      <c r="A54" s="1041" t="s">
        <v>521</v>
      </c>
      <c r="B54" s="1037">
        <v>0.33</v>
      </c>
      <c r="C54" s="1037">
        <v>0.33</v>
      </c>
      <c r="D54" s="1037">
        <v>0.33</v>
      </c>
      <c r="F54" s="1037">
        <v>0.34</v>
      </c>
      <c r="G54" s="1037">
        <v>0.34</v>
      </c>
      <c r="H54" s="1037">
        <v>0.34</v>
      </c>
      <c r="J54" s="1037">
        <v>0.35</v>
      </c>
      <c r="K54" s="1037">
        <v>0.35</v>
      </c>
      <c r="L54" s="1037">
        <v>0.35</v>
      </c>
      <c r="N54" s="1037">
        <v>0.36</v>
      </c>
      <c r="O54" s="1037">
        <v>0.36</v>
      </c>
      <c r="P54" s="1037">
        <v>0.36</v>
      </c>
      <c r="R54" s="1037">
        <v>0.39</v>
      </c>
      <c r="S54" s="1037">
        <v>0.39</v>
      </c>
      <c r="T54" s="1037">
        <v>0.39</v>
      </c>
      <c r="U54" s="1037">
        <v>0.43</v>
      </c>
      <c r="V54" s="1037">
        <v>0.43</v>
      </c>
      <c r="W54" s="1037">
        <v>0.43</v>
      </c>
      <c r="X54" s="1037">
        <v>0.25</v>
      </c>
      <c r="Y54" s="1037">
        <v>0.25</v>
      </c>
      <c r="Z54" s="1037">
        <v>0.25</v>
      </c>
      <c r="AB54" s="1037">
        <v>0.28999999999999998</v>
      </c>
      <c r="AC54" s="1037">
        <v>0.28999999999999998</v>
      </c>
      <c r="AD54" s="1037">
        <v>0.28999999999999998</v>
      </c>
      <c r="AF54" s="1037">
        <v>0.33</v>
      </c>
      <c r="AG54" s="1037">
        <v>0.33</v>
      </c>
      <c r="AH54" s="1037">
        <v>0.33</v>
      </c>
      <c r="AI54" s="1037">
        <v>0.35</v>
      </c>
      <c r="AJ54" s="1037">
        <v>0.35</v>
      </c>
      <c r="AK54" s="1037">
        <v>0.35</v>
      </c>
      <c r="AL54" s="1047">
        <f>'Income Statement'!K23-SUM(AI54:AK54)</f>
        <v>0.35000000000000009</v>
      </c>
      <c r="AM54" s="1037">
        <v>0.37</v>
      </c>
      <c r="AN54" s="1037">
        <v>0.37</v>
      </c>
      <c r="AO54" s="1037">
        <v>0.37</v>
      </c>
      <c r="AQ54" s="1042">
        <f t="shared" ref="AQ54:AQ79" si="3">SUM(AM54:AP54)</f>
        <v>1.1099999999999999</v>
      </c>
    </row>
    <row r="55" spans="1:44">
      <c r="A55" s="1041" t="s">
        <v>520</v>
      </c>
      <c r="B55" s="1037">
        <v>174.7</v>
      </c>
      <c r="C55" s="1037">
        <v>175.1</v>
      </c>
      <c r="D55" s="1037">
        <v>173.6</v>
      </c>
      <c r="F55" s="1037">
        <v>174.8</v>
      </c>
      <c r="G55" s="1037">
        <v>174.3</v>
      </c>
      <c r="H55" s="1037">
        <v>170.6</v>
      </c>
      <c r="J55" s="1037">
        <v>169.8</v>
      </c>
      <c r="K55" s="1037">
        <v>171.1</v>
      </c>
      <c r="L55" s="1037">
        <v>170.6</v>
      </c>
      <c r="AN55" s="1037">
        <v>324.5</v>
      </c>
      <c r="AO55" s="1037">
        <v>314.39999999999998</v>
      </c>
      <c r="AQ55" s="1042">
        <f t="shared" si="3"/>
        <v>638.9</v>
      </c>
    </row>
    <row r="56" spans="1:44">
      <c r="A56" s="1041" t="s">
        <v>519</v>
      </c>
      <c r="B56" s="1037">
        <v>176.3</v>
      </c>
      <c r="C56" s="1037">
        <v>180.2</v>
      </c>
      <c r="D56" s="1037">
        <v>177.9</v>
      </c>
      <c r="F56" s="1037">
        <v>179</v>
      </c>
      <c r="G56" s="1037">
        <v>178.2</v>
      </c>
      <c r="H56" s="1037">
        <v>170.6</v>
      </c>
      <c r="J56" s="1037">
        <v>172.9</v>
      </c>
      <c r="K56" s="1037">
        <v>174.6</v>
      </c>
      <c r="L56" s="1037">
        <v>170.6</v>
      </c>
      <c r="AA56" s="1037">
        <v>419.8</v>
      </c>
      <c r="AE56" s="1037">
        <v>387.5</v>
      </c>
      <c r="AN56" s="1037">
        <v>326.7</v>
      </c>
      <c r="AO56" s="1037">
        <v>317.3</v>
      </c>
      <c r="AQ56" s="1042">
        <f t="shared" si="3"/>
        <v>644</v>
      </c>
    </row>
    <row r="57" spans="1:44">
      <c r="A57" s="1041" t="s">
        <v>195</v>
      </c>
      <c r="B57" s="1037">
        <v>153.69999999999999</v>
      </c>
      <c r="C57" s="1037">
        <v>184.6</v>
      </c>
      <c r="D57" s="1037">
        <v>207.9</v>
      </c>
      <c r="F57" s="1037">
        <v>175</v>
      </c>
      <c r="G57" s="1037">
        <v>146.80000000000001</v>
      </c>
      <c r="H57" s="1037">
        <v>-239</v>
      </c>
      <c r="J57" s="1037">
        <v>198.2</v>
      </c>
      <c r="K57" s="1037">
        <v>210.2</v>
      </c>
      <c r="L57" s="1037">
        <v>-242.1</v>
      </c>
      <c r="N57" s="1037">
        <v>224.6</v>
      </c>
      <c r="O57" s="1037">
        <v>252.1</v>
      </c>
      <c r="P57" s="1037">
        <v>259.8</v>
      </c>
      <c r="R57" s="1037">
        <v>360.7</v>
      </c>
      <c r="S57" s="1037">
        <v>356.1</v>
      </c>
      <c r="T57" s="1037">
        <v>364</v>
      </c>
      <c r="U57" s="1037">
        <v>469.6</v>
      </c>
      <c r="V57" s="1037">
        <v>495.5</v>
      </c>
      <c r="W57" s="1037">
        <v>246.4</v>
      </c>
      <c r="X57" s="1037">
        <v>672</v>
      </c>
      <c r="Y57" s="1037">
        <v>598</v>
      </c>
      <c r="Z57" s="1037">
        <v>604</v>
      </c>
      <c r="AA57" s="1037">
        <v>654</v>
      </c>
      <c r="AB57" s="1037">
        <v>710</v>
      </c>
      <c r="AC57" s="1037">
        <v>709</v>
      </c>
      <c r="AD57" s="1037">
        <v>738</v>
      </c>
      <c r="AE57" s="1037">
        <v>650</v>
      </c>
      <c r="AF57" s="1037">
        <v>664</v>
      </c>
      <c r="AG57" s="1037">
        <v>469</v>
      </c>
      <c r="AH57" s="1037">
        <v>264</v>
      </c>
      <c r="AI57" s="1037">
        <v>341</v>
      </c>
      <c r="AJ57" s="1037">
        <v>551</v>
      </c>
      <c r="AK57" s="1037">
        <v>596</v>
      </c>
      <c r="AL57" s="1040">
        <f>VLOOKUP('2010 Q IS'!A57,'Actual IS'!$A$17:$L$150,11,FALSE)-SUM(AI57:AK57)</f>
        <v>695</v>
      </c>
      <c r="AM57" s="1037">
        <v>464</v>
      </c>
      <c r="AN57" s="1037">
        <v>518</v>
      </c>
      <c r="AO57" s="1037">
        <v>572</v>
      </c>
      <c r="AP57" s="1044">
        <f>AP51+AP23</f>
        <v>620</v>
      </c>
      <c r="AQ57" s="1042">
        <f>SUM(AM57:AP57)</f>
        <v>2174</v>
      </c>
      <c r="AR57" s="1135">
        <f>AQ46-AQ48</f>
        <v>2073</v>
      </c>
    </row>
    <row r="58" spans="1:44">
      <c r="A58" s="1041" t="s">
        <v>600</v>
      </c>
      <c r="AQ58" s="1042">
        <f t="shared" si="3"/>
        <v>0</v>
      </c>
    </row>
    <row r="59" spans="1:44">
      <c r="A59" s="1041" t="s">
        <v>885</v>
      </c>
      <c r="V59" s="1037">
        <v>298.8</v>
      </c>
      <c r="W59" s="1037">
        <v>-254.4</v>
      </c>
      <c r="X59" s="1037">
        <v>-224</v>
      </c>
      <c r="AQ59" s="1042">
        <f t="shared" si="3"/>
        <v>0</v>
      </c>
    </row>
    <row r="60" spans="1:44">
      <c r="A60" s="1041" t="s">
        <v>884</v>
      </c>
      <c r="V60" s="1037">
        <v>-36.4</v>
      </c>
      <c r="W60" s="1037">
        <v>10.8</v>
      </c>
      <c r="X60" s="1037">
        <v>-2</v>
      </c>
      <c r="AQ60" s="1042">
        <f t="shared" si="3"/>
        <v>0</v>
      </c>
    </row>
    <row r="61" spans="1:44">
      <c r="A61" s="1041" t="s">
        <v>600</v>
      </c>
      <c r="V61" s="1037">
        <v>757.9</v>
      </c>
      <c r="W61" s="1037">
        <v>2.8</v>
      </c>
      <c r="X61" s="1037">
        <v>446</v>
      </c>
      <c r="AQ61" s="1042">
        <f t="shared" si="3"/>
        <v>0</v>
      </c>
    </row>
    <row r="62" spans="1:44">
      <c r="A62" s="1041" t="s">
        <v>426</v>
      </c>
      <c r="AQ62" s="1042">
        <f t="shared" si="3"/>
        <v>0</v>
      </c>
    </row>
    <row r="63" spans="1:44">
      <c r="A63" s="1041" t="s">
        <v>552</v>
      </c>
      <c r="AA63" s="1037">
        <v>1224</v>
      </c>
      <c r="AE63" s="1037">
        <v>1328</v>
      </c>
      <c r="AQ63" s="1042">
        <f t="shared" si="3"/>
        <v>0</v>
      </c>
    </row>
    <row r="64" spans="1:44">
      <c r="A64" s="1041" t="s">
        <v>883</v>
      </c>
      <c r="V64" s="1037">
        <v>869</v>
      </c>
      <c r="AQ64" s="1042">
        <f t="shared" si="3"/>
        <v>0</v>
      </c>
    </row>
    <row r="65" spans="1:43">
      <c r="A65" s="1041" t="s">
        <v>883</v>
      </c>
      <c r="V65" s="1037">
        <v>5</v>
      </c>
      <c r="AQ65" s="1042">
        <f t="shared" si="3"/>
        <v>0</v>
      </c>
    </row>
    <row r="66" spans="1:43">
      <c r="A66" s="1041" t="s">
        <v>531</v>
      </c>
      <c r="W66" s="1037">
        <v>-286.8</v>
      </c>
      <c r="AQ66" s="1042">
        <f t="shared" si="3"/>
        <v>0</v>
      </c>
    </row>
    <row r="67" spans="1:43">
      <c r="A67" s="1041" t="s">
        <v>882</v>
      </c>
      <c r="E67" s="1037">
        <v>126.3</v>
      </c>
      <c r="I67" s="1037">
        <v>137</v>
      </c>
      <c r="AQ67" s="1042">
        <f t="shared" si="3"/>
        <v>0</v>
      </c>
    </row>
    <row r="68" spans="1:43">
      <c r="A68" s="1041" t="s">
        <v>881</v>
      </c>
      <c r="J68" s="1037">
        <v>1.07</v>
      </c>
      <c r="L68" s="1037">
        <v>-1.5</v>
      </c>
      <c r="N68" s="1037">
        <v>1.31</v>
      </c>
      <c r="O68" s="1037">
        <v>1.45</v>
      </c>
      <c r="P68" s="1037">
        <v>1.37</v>
      </c>
      <c r="AQ68" s="1042">
        <f t="shared" si="3"/>
        <v>0</v>
      </c>
    </row>
    <row r="69" spans="1:43">
      <c r="A69" s="1041" t="s">
        <v>880</v>
      </c>
      <c r="J69" s="1037">
        <v>185.3</v>
      </c>
      <c r="L69" s="1037">
        <v>-256.5</v>
      </c>
      <c r="N69" s="1037">
        <v>224.6</v>
      </c>
      <c r="O69" s="1037">
        <v>252.1</v>
      </c>
      <c r="P69" s="1037">
        <v>259.8</v>
      </c>
      <c r="AQ69" s="1042">
        <f t="shared" si="3"/>
        <v>0</v>
      </c>
    </row>
    <row r="70" spans="1:43">
      <c r="A70" s="1041" t="s">
        <v>522</v>
      </c>
      <c r="V70" s="1037">
        <v>-4</v>
      </c>
      <c r="AQ70" s="1042">
        <f t="shared" si="3"/>
        <v>0</v>
      </c>
    </row>
    <row r="71" spans="1:43">
      <c r="A71" s="1041" t="s">
        <v>879</v>
      </c>
      <c r="J71" s="1037">
        <v>204.3</v>
      </c>
      <c r="N71" s="1037">
        <v>221.7</v>
      </c>
      <c r="AA71" s="1037">
        <v>614</v>
      </c>
      <c r="AQ71" s="1042">
        <f t="shared" si="3"/>
        <v>0</v>
      </c>
    </row>
    <row r="72" spans="1:43">
      <c r="A72" s="1041" t="s">
        <v>878</v>
      </c>
      <c r="AI72" s="1037">
        <v>19.3</v>
      </c>
      <c r="AM72" s="1037">
        <v>19.100000000000001</v>
      </c>
      <c r="AQ72" s="1042">
        <f t="shared" si="3"/>
        <v>19.100000000000001</v>
      </c>
    </row>
    <row r="73" spans="1:43">
      <c r="A73" s="1041" t="s">
        <v>195</v>
      </c>
      <c r="Z73" s="1037">
        <v>604</v>
      </c>
      <c r="AB73" s="1037">
        <v>710</v>
      </c>
      <c r="AC73" s="1037">
        <v>709</v>
      </c>
      <c r="AD73" s="1037">
        <v>738</v>
      </c>
      <c r="AF73" s="1037">
        <v>664</v>
      </c>
      <c r="AG73" s="1037">
        <v>469</v>
      </c>
      <c r="AH73" s="1037">
        <v>264</v>
      </c>
      <c r="AI73" s="1037">
        <v>341</v>
      </c>
      <c r="AJ73" s="1037">
        <v>551</v>
      </c>
      <c r="AK73" s="1037">
        <v>596</v>
      </c>
      <c r="AL73" s="1040">
        <f>VLOOKUP('2010 Q IS'!A73,'Actual IS'!$A$17:$L$150,11,FALSE)-SUM(AI73:AK73)</f>
        <v>695</v>
      </c>
      <c r="AM73" s="1037">
        <v>464</v>
      </c>
      <c r="AN73" s="1037">
        <v>518</v>
      </c>
      <c r="AO73" s="1037">
        <v>572</v>
      </c>
      <c r="AP73" s="1039">
        <f>AP57</f>
        <v>620</v>
      </c>
      <c r="AQ73" s="1042">
        <f t="shared" si="3"/>
        <v>2174</v>
      </c>
    </row>
    <row r="74" spans="1:43">
      <c r="A74" s="1041" t="s">
        <v>529</v>
      </c>
      <c r="B74" s="1037">
        <v>0.88</v>
      </c>
      <c r="C74" s="1037">
        <v>1.05</v>
      </c>
      <c r="D74" s="1037">
        <v>1.2</v>
      </c>
      <c r="F74" s="1037">
        <v>1</v>
      </c>
      <c r="G74" s="1037">
        <v>0.84</v>
      </c>
      <c r="J74" s="1037">
        <v>1.17</v>
      </c>
      <c r="K74" s="1037">
        <v>1.22</v>
      </c>
      <c r="N74" s="1037">
        <v>1.32</v>
      </c>
      <c r="O74" s="1037">
        <v>1.46</v>
      </c>
      <c r="T74" s="1037">
        <v>1.91</v>
      </c>
      <c r="W74" s="1037">
        <v>1.24</v>
      </c>
      <c r="X74" s="1037">
        <v>1.62</v>
      </c>
      <c r="Y74" s="1037">
        <v>1.45</v>
      </c>
      <c r="Z74" s="1037">
        <v>1.47</v>
      </c>
      <c r="AB74" s="1037">
        <v>1.74</v>
      </c>
      <c r="AC74" s="1037">
        <v>1.78</v>
      </c>
      <c r="AD74" s="1037">
        <v>1.9</v>
      </c>
      <c r="AF74" s="1037">
        <v>1.8</v>
      </c>
      <c r="AG74" s="1037">
        <v>1.29</v>
      </c>
      <c r="AH74" s="1037">
        <v>0.74</v>
      </c>
      <c r="AI74" s="1037">
        <v>0.96</v>
      </c>
      <c r="AJ74" s="1037">
        <v>1.55</v>
      </c>
      <c r="AK74" s="1037">
        <v>1.7</v>
      </c>
      <c r="AL74" s="1047">
        <f>VLOOKUP('2010 Q IS'!A74,'Actual IS'!A70:L202,11,FALSE)-SUM(AI74:AK74)</f>
        <v>2.0300000000000002</v>
      </c>
      <c r="AM74" s="1037">
        <v>1.39</v>
      </c>
      <c r="AN74" s="1037">
        <v>1.6</v>
      </c>
      <c r="AQ74" s="1042">
        <f t="shared" si="3"/>
        <v>2.99</v>
      </c>
    </row>
    <row r="75" spans="1:43">
      <c r="A75" s="1041" t="s">
        <v>529</v>
      </c>
      <c r="G75" s="1037">
        <v>0.84</v>
      </c>
      <c r="AQ75" s="1042">
        <f t="shared" si="3"/>
        <v>0</v>
      </c>
    </row>
    <row r="76" spans="1:43">
      <c r="A76" s="1041" t="s">
        <v>877</v>
      </c>
      <c r="H76" s="1037">
        <v>-1.4</v>
      </c>
      <c r="L76" s="1037">
        <v>-1.42</v>
      </c>
      <c r="P76" s="1037">
        <v>1.39</v>
      </c>
      <c r="AQ76" s="1042">
        <f t="shared" si="3"/>
        <v>0</v>
      </c>
    </row>
    <row r="77" spans="1:43">
      <c r="A77" s="1041" t="s">
        <v>876</v>
      </c>
      <c r="R77" s="1037">
        <v>1.92</v>
      </c>
      <c r="S77" s="1037">
        <v>1.88</v>
      </c>
      <c r="U77" s="1037">
        <v>2.4300000000000002</v>
      </c>
      <c r="V77" s="1037">
        <v>2.52</v>
      </c>
      <c r="AQ77" s="1042">
        <f t="shared" si="3"/>
        <v>0</v>
      </c>
    </row>
    <row r="78" spans="1:43">
      <c r="A78" s="1041" t="s">
        <v>603</v>
      </c>
      <c r="AO78" s="1037">
        <v>1.82</v>
      </c>
      <c r="AQ78" s="1042">
        <f t="shared" si="3"/>
        <v>1.82</v>
      </c>
    </row>
    <row r="79" spans="1:43">
      <c r="A79" s="1041" t="s">
        <v>875</v>
      </c>
      <c r="B79" s="1037">
        <v>0.87</v>
      </c>
      <c r="G79" s="1037">
        <v>0.83</v>
      </c>
      <c r="J79" s="1037">
        <v>1.1499999999999999</v>
      </c>
      <c r="P79" s="1037">
        <v>1.37</v>
      </c>
      <c r="R79" s="1037">
        <v>1.88</v>
      </c>
      <c r="U79" s="1037">
        <v>2.37</v>
      </c>
      <c r="V79" s="1037">
        <v>2.4500000000000002</v>
      </c>
      <c r="AQ79" s="1042">
        <f t="shared" si="3"/>
        <v>0</v>
      </c>
    </row>
    <row r="80" spans="1:43">
      <c r="A80" s="1041" t="s">
        <v>528</v>
      </c>
      <c r="C80" s="1037">
        <v>1.02</v>
      </c>
      <c r="D80" s="1037">
        <v>1.17</v>
      </c>
      <c r="F80" s="1037">
        <v>0.97</v>
      </c>
      <c r="K80" s="1037">
        <v>1.2</v>
      </c>
      <c r="N80" s="1037">
        <v>1.31</v>
      </c>
      <c r="O80" s="1037">
        <v>1.45</v>
      </c>
      <c r="S80" s="1037">
        <v>1.85</v>
      </c>
      <c r="T80" s="1037">
        <v>1.88</v>
      </c>
      <c r="W80" s="1037">
        <v>1.2</v>
      </c>
      <c r="X80" s="1037">
        <v>1.58</v>
      </c>
      <c r="Y80" s="1037">
        <v>1.41</v>
      </c>
      <c r="Z80" s="1037">
        <v>1.43</v>
      </c>
      <c r="AB80" s="1037">
        <v>1.71</v>
      </c>
      <c r="AC80" s="1037">
        <v>1.75</v>
      </c>
      <c r="AD80" s="1037">
        <v>1.87</v>
      </c>
      <c r="AF80" s="1037">
        <v>1.77</v>
      </c>
      <c r="AG80" s="1037">
        <v>1.27</v>
      </c>
      <c r="AH80" s="1037">
        <v>0.73</v>
      </c>
      <c r="AI80" s="1037">
        <v>0.95</v>
      </c>
      <c r="AJ80" s="1037">
        <v>1.54</v>
      </c>
      <c r="AK80" s="1037">
        <v>1.69</v>
      </c>
      <c r="AL80" s="1047">
        <f>VLOOKUP('2010 Q IS'!A80,'Actual IS'!$A$17:$L$150,11,FALSE)-SUM(AI80:AK80)</f>
        <v>2</v>
      </c>
      <c r="AM80" s="1037">
        <v>1.39</v>
      </c>
      <c r="AN80" s="1037">
        <v>1.59</v>
      </c>
      <c r="AP80" s="1046">
        <v>2.0299999999999998</v>
      </c>
      <c r="AQ80" s="1046">
        <v>6.76</v>
      </c>
    </row>
    <row r="81" spans="1:43">
      <c r="A81" s="1041" t="s">
        <v>528</v>
      </c>
      <c r="G81" s="1037">
        <v>0.83</v>
      </c>
      <c r="AQ81" s="1042">
        <f t="shared" ref="AQ81:AQ100" si="4">SUM(AM81:AP81)</f>
        <v>0</v>
      </c>
    </row>
    <row r="82" spans="1:43">
      <c r="A82" s="1041" t="s">
        <v>874</v>
      </c>
      <c r="H82" s="1037">
        <v>-1.4</v>
      </c>
      <c r="L82" s="1037">
        <v>-1.42</v>
      </c>
      <c r="AQ82" s="1042">
        <f t="shared" si="4"/>
        <v>0</v>
      </c>
    </row>
    <row r="83" spans="1:43">
      <c r="A83" s="1041" t="s">
        <v>602</v>
      </c>
      <c r="AO83" s="1037">
        <v>1.8</v>
      </c>
      <c r="AQ83" s="1042">
        <f t="shared" si="4"/>
        <v>1.8</v>
      </c>
    </row>
    <row r="84" spans="1:43">
      <c r="A84" s="1041" t="s">
        <v>581</v>
      </c>
      <c r="Z84" s="1037">
        <v>1.5</v>
      </c>
      <c r="AQ84" s="1042">
        <f t="shared" si="4"/>
        <v>0</v>
      </c>
    </row>
    <row r="85" spans="1:43">
      <c r="A85" s="1041" t="s">
        <v>873</v>
      </c>
      <c r="AA85" s="1037">
        <v>-0.2</v>
      </c>
      <c r="AQ85" s="1042">
        <f t="shared" si="4"/>
        <v>0</v>
      </c>
    </row>
    <row r="86" spans="1:43">
      <c r="A86" s="1041" t="s">
        <v>872</v>
      </c>
      <c r="AA86" s="1037">
        <v>1.1000000000000001</v>
      </c>
      <c r="AQ86" s="1042">
        <f t="shared" si="4"/>
        <v>0</v>
      </c>
    </row>
    <row r="87" spans="1:43">
      <c r="A87" s="1041" t="s">
        <v>871</v>
      </c>
      <c r="AE87" s="1037">
        <v>3.8</v>
      </c>
      <c r="AQ87" s="1042">
        <f t="shared" si="4"/>
        <v>0</v>
      </c>
    </row>
    <row r="88" spans="1:43">
      <c r="A88" s="1041" t="s">
        <v>577</v>
      </c>
      <c r="B88" s="1037">
        <v>78</v>
      </c>
      <c r="C88" s="1037">
        <v>-2.6</v>
      </c>
      <c r="D88" s="1037">
        <v>99.2</v>
      </c>
      <c r="F88" s="1037">
        <v>101.1</v>
      </c>
      <c r="G88" s="1037">
        <v>-87.9</v>
      </c>
      <c r="H88" s="1037">
        <v>151.19999999999999</v>
      </c>
      <c r="J88" s="1037">
        <v>-69</v>
      </c>
      <c r="Y88" s="1037">
        <v>-256</v>
      </c>
      <c r="Z88" s="1037">
        <v>543</v>
      </c>
      <c r="AQ88" s="1042">
        <f t="shared" si="4"/>
        <v>0</v>
      </c>
    </row>
    <row r="89" spans="1:43">
      <c r="A89" s="1041" t="s">
        <v>573</v>
      </c>
      <c r="K89" s="1037">
        <v>188.7</v>
      </c>
      <c r="U89" s="1037">
        <v>-270.39999999999998</v>
      </c>
      <c r="AQ89" s="1042">
        <f t="shared" si="4"/>
        <v>0</v>
      </c>
    </row>
    <row r="90" spans="1:43">
      <c r="A90" s="1041" t="s">
        <v>599</v>
      </c>
      <c r="L90" s="1037">
        <v>212.6</v>
      </c>
      <c r="N90" s="1037">
        <v>42.3</v>
      </c>
      <c r="O90" s="1037">
        <v>198.6</v>
      </c>
      <c r="P90" s="1037">
        <v>-150.4</v>
      </c>
      <c r="R90" s="1037">
        <v>124.5</v>
      </c>
      <c r="S90" s="1037">
        <v>-516.1</v>
      </c>
      <c r="T90" s="1037">
        <v>319.5</v>
      </c>
      <c r="AQ90" s="1042">
        <f t="shared" si="4"/>
        <v>0</v>
      </c>
    </row>
    <row r="91" spans="1:43">
      <c r="A91" s="1041" t="s">
        <v>570</v>
      </c>
      <c r="AB91" s="1037">
        <v>-12</v>
      </c>
      <c r="AG91" s="1037">
        <v>-316</v>
      </c>
      <c r="AQ91" s="1042">
        <f t="shared" si="4"/>
        <v>0</v>
      </c>
    </row>
    <row r="92" spans="1:43">
      <c r="A92" s="1041" t="s">
        <v>567</v>
      </c>
      <c r="AC92" s="1037">
        <v>-211</v>
      </c>
      <c r="AD92" s="1037">
        <v>220</v>
      </c>
      <c r="AH92" s="1037">
        <v>-350</v>
      </c>
      <c r="AI92" s="1037">
        <v>327</v>
      </c>
      <c r="AJ92" s="1037">
        <v>188</v>
      </c>
      <c r="AK92" s="1037">
        <v>813</v>
      </c>
      <c r="AL92" s="1040">
        <f>VLOOKUP('2010 Q IS'!A92,'Actual IS'!$A$17:$L$150,11,FALSE)-SUM(AI92:AK92)</f>
        <v>-105</v>
      </c>
      <c r="AM92" s="1037">
        <v>0</v>
      </c>
      <c r="AN92" s="1037">
        <v>56</v>
      </c>
      <c r="AO92" s="1037">
        <v>457</v>
      </c>
      <c r="AP92" s="1039">
        <v>-105</v>
      </c>
      <c r="AQ92" s="1042">
        <f t="shared" si="4"/>
        <v>408</v>
      </c>
    </row>
    <row r="93" spans="1:43">
      <c r="A93" s="1041" t="s">
        <v>870</v>
      </c>
      <c r="AF93" s="1037">
        <v>-148</v>
      </c>
      <c r="AQ93" s="1042">
        <f t="shared" si="4"/>
        <v>0</v>
      </c>
    </row>
    <row r="94" spans="1:43">
      <c r="A94" s="1041" t="s">
        <v>568</v>
      </c>
      <c r="AJ94" s="1037">
        <v>-9</v>
      </c>
      <c r="AK94" s="1037">
        <v>3</v>
      </c>
      <c r="AM94" s="1037">
        <v>0</v>
      </c>
      <c r="AN94" s="1037">
        <v>1</v>
      </c>
      <c r="AQ94" s="1042">
        <f t="shared" si="4"/>
        <v>1</v>
      </c>
    </row>
    <row r="95" spans="1:43">
      <c r="A95" s="1041" t="s">
        <v>568</v>
      </c>
      <c r="AM95" s="1037">
        <v>3</v>
      </c>
      <c r="AN95" s="1037">
        <v>0</v>
      </c>
      <c r="AQ95" s="1042">
        <f t="shared" si="4"/>
        <v>3</v>
      </c>
    </row>
    <row r="96" spans="1:43">
      <c r="A96" s="1041" t="s">
        <v>567</v>
      </c>
      <c r="AM96" s="1037">
        <v>107</v>
      </c>
      <c r="AN96" s="1037">
        <v>0</v>
      </c>
      <c r="AQ96" s="1042">
        <f t="shared" si="4"/>
        <v>107</v>
      </c>
    </row>
    <row r="97" spans="1:43">
      <c r="A97" s="1041" t="s">
        <v>869</v>
      </c>
      <c r="AO97" s="1037">
        <v>3</v>
      </c>
      <c r="AQ97" s="1042">
        <f t="shared" si="4"/>
        <v>3</v>
      </c>
    </row>
    <row r="98" spans="1:43">
      <c r="A98" s="1041" t="s">
        <v>566</v>
      </c>
      <c r="B98" s="1037">
        <v>-5</v>
      </c>
      <c r="C98" s="1037">
        <v>-6.7</v>
      </c>
      <c r="D98" s="1037">
        <v>-15.3</v>
      </c>
      <c r="F98" s="1037">
        <v>-10.3</v>
      </c>
      <c r="G98" s="1037">
        <v>-2.6</v>
      </c>
      <c r="H98" s="1037">
        <v>0.8</v>
      </c>
      <c r="J98" s="1037">
        <v>-5.3</v>
      </c>
      <c r="K98" s="1037">
        <v>6.6</v>
      </c>
      <c r="L98" s="1037">
        <v>3.8</v>
      </c>
      <c r="N98" s="1037">
        <v>9.5</v>
      </c>
      <c r="O98" s="1037">
        <v>36.9</v>
      </c>
      <c r="P98" s="1037">
        <v>-8.8000000000000007</v>
      </c>
      <c r="R98" s="1037">
        <v>9.6</v>
      </c>
      <c r="S98" s="1037">
        <v>-2.7</v>
      </c>
      <c r="T98" s="1037">
        <v>8</v>
      </c>
      <c r="U98" s="1037">
        <v>7.1</v>
      </c>
      <c r="Y98" s="1037">
        <v>8</v>
      </c>
      <c r="Z98" s="1037">
        <v>4</v>
      </c>
      <c r="AB98" s="1037">
        <v>-12</v>
      </c>
      <c r="AC98" s="1037">
        <v>46</v>
      </c>
      <c r="AD98" s="1037">
        <v>54</v>
      </c>
      <c r="AF98" s="1037">
        <v>61</v>
      </c>
      <c r="AG98" s="1037">
        <v>-5</v>
      </c>
      <c r="AH98" s="1037">
        <v>-113</v>
      </c>
      <c r="AI98" s="1037">
        <v>-113</v>
      </c>
      <c r="AJ98" s="1037">
        <v>158</v>
      </c>
      <c r="AK98" s="1037">
        <v>98</v>
      </c>
      <c r="AL98" s="1040">
        <f>VLOOKUP('2010 Q IS'!A98,'Actual IS'!$A$17:$L$150,11,FALSE)-SUM(AI98:AK98)</f>
        <v>27</v>
      </c>
      <c r="AM98" s="1037">
        <v>-28</v>
      </c>
      <c r="AN98" s="1037">
        <v>-66</v>
      </c>
      <c r="AO98" s="1037">
        <v>32</v>
      </c>
      <c r="AP98" s="1039">
        <v>27</v>
      </c>
      <c r="AQ98" s="1042">
        <f t="shared" si="4"/>
        <v>-35</v>
      </c>
    </row>
    <row r="99" spans="1:43">
      <c r="A99" s="1041" t="s">
        <v>868</v>
      </c>
      <c r="AI99" s="1037">
        <v>9</v>
      </c>
      <c r="AJ99" s="1037">
        <v>3</v>
      </c>
      <c r="AK99" s="1037">
        <v>9</v>
      </c>
      <c r="AM99" s="1037">
        <v>10</v>
      </c>
      <c r="AN99" s="1037">
        <v>9</v>
      </c>
      <c r="AO99" s="1037">
        <v>10</v>
      </c>
      <c r="AQ99" s="1042">
        <f t="shared" si="4"/>
        <v>29</v>
      </c>
    </row>
    <row r="100" spans="1:43">
      <c r="A100" s="1041" t="s">
        <v>868</v>
      </c>
      <c r="AB100" s="1037">
        <v>5</v>
      </c>
      <c r="AC100" s="1037">
        <v>4</v>
      </c>
      <c r="AD100" s="1037">
        <v>6</v>
      </c>
      <c r="AF100" s="1037">
        <v>5</v>
      </c>
      <c r="AG100" s="1037">
        <v>5</v>
      </c>
      <c r="AH100" s="1037">
        <v>8</v>
      </c>
      <c r="AQ100" s="1042">
        <f t="shared" si="4"/>
        <v>0</v>
      </c>
    </row>
    <row r="101" spans="1:43">
      <c r="A101" s="1041" t="s">
        <v>600</v>
      </c>
      <c r="B101" s="1037">
        <v>226.7</v>
      </c>
      <c r="C101" s="1037">
        <v>175.3</v>
      </c>
      <c r="D101" s="1037">
        <v>291.8</v>
      </c>
      <c r="F101" s="1037">
        <v>265.8</v>
      </c>
      <c r="G101" s="1037">
        <v>56.3</v>
      </c>
      <c r="H101" s="1037">
        <v>-87</v>
      </c>
      <c r="J101" s="1037">
        <v>123.9</v>
      </c>
      <c r="K101" s="1037">
        <v>405.5</v>
      </c>
      <c r="L101" s="1037">
        <v>-25.7</v>
      </c>
      <c r="N101" s="1037">
        <v>276.39999999999998</v>
      </c>
      <c r="O101" s="1037">
        <v>487.6</v>
      </c>
      <c r="P101" s="1037">
        <v>100.6</v>
      </c>
      <c r="R101" s="1037">
        <v>494.8</v>
      </c>
      <c r="S101" s="1037">
        <v>-162.69999999999999</v>
      </c>
      <c r="T101" s="1037">
        <v>691.5</v>
      </c>
      <c r="U101" s="1037">
        <v>206.3</v>
      </c>
      <c r="Y101" s="1037">
        <v>350</v>
      </c>
      <c r="Z101" s="1037">
        <v>1151</v>
      </c>
      <c r="AB101" s="1037">
        <v>691</v>
      </c>
      <c r="AC101" s="1037">
        <v>548</v>
      </c>
      <c r="AD101" s="1037">
        <v>1018</v>
      </c>
      <c r="AF101" s="1037">
        <v>582</v>
      </c>
      <c r="AG101" s="1037">
        <v>153</v>
      </c>
      <c r="AH101" s="1037">
        <v>-191</v>
      </c>
      <c r="AI101" s="1037">
        <v>564</v>
      </c>
      <c r="AJ101" s="1037">
        <v>891</v>
      </c>
      <c r="AK101" s="1037">
        <v>1519</v>
      </c>
      <c r="AL101" s="1040">
        <f>VLOOKUP('2010 Q IS'!A101,'Actual IS'!$A$17:$L$150,11,FALSE)-SUM(AI101:AK101)</f>
        <v>-2974</v>
      </c>
      <c r="AM101" s="1037">
        <v>556</v>
      </c>
      <c r="AN101" s="1037">
        <v>518</v>
      </c>
      <c r="AO101" s="1037">
        <v>1074</v>
      </c>
      <c r="AP101" s="1039">
        <v>-2974</v>
      </c>
      <c r="AQ101" s="1042"/>
    </row>
    <row r="102" spans="1:43">
      <c r="A102" s="1041" t="s">
        <v>520</v>
      </c>
      <c r="B102" s="1037">
        <v>174.7</v>
      </c>
      <c r="C102" s="1037">
        <v>175.1</v>
      </c>
      <c r="D102" s="1037">
        <v>173.6</v>
      </c>
      <c r="F102" s="1037">
        <v>174.8</v>
      </c>
      <c r="G102" s="1037">
        <v>174.3</v>
      </c>
      <c r="H102" s="1037">
        <v>170.6</v>
      </c>
      <c r="J102" s="1037">
        <v>169.8</v>
      </c>
      <c r="K102" s="1037">
        <v>171.1</v>
      </c>
      <c r="L102" s="1037">
        <v>170.6</v>
      </c>
      <c r="N102" s="1037">
        <v>170.5</v>
      </c>
      <c r="O102" s="1037">
        <v>172.5</v>
      </c>
      <c r="P102" s="1037">
        <v>186.6</v>
      </c>
      <c r="R102" s="1037">
        <v>187.9</v>
      </c>
      <c r="S102" s="1037">
        <v>189.5</v>
      </c>
      <c r="T102" s="1037">
        <v>190.5</v>
      </c>
      <c r="U102" s="1037">
        <v>193.2</v>
      </c>
      <c r="V102" s="1037">
        <v>196.4</v>
      </c>
      <c r="W102" s="1037">
        <v>198.7</v>
      </c>
      <c r="X102" s="1037">
        <v>413.9</v>
      </c>
      <c r="Y102" s="1037">
        <v>413.7</v>
      </c>
      <c r="Z102" s="1037">
        <v>410.9</v>
      </c>
      <c r="AB102" s="1037">
        <v>407.2</v>
      </c>
      <c r="AC102" s="1037">
        <v>398.8</v>
      </c>
      <c r="AD102" s="1037">
        <v>387.5</v>
      </c>
      <c r="AF102" s="1037">
        <v>369.9</v>
      </c>
      <c r="AG102" s="1037">
        <v>364.2</v>
      </c>
      <c r="AH102" s="1037">
        <v>356.8</v>
      </c>
      <c r="AI102" s="1037">
        <v>355.3</v>
      </c>
      <c r="AJ102" s="1037">
        <v>354.8</v>
      </c>
      <c r="AK102" s="1037">
        <v>350.3</v>
      </c>
      <c r="AL102" s="1040">
        <f>VLOOKUP('2010 Q IS'!A102,'Actual IS'!$A$17:$L$150,11,FALSE)-SUM(AI102:AK102)</f>
        <v>-710.30000000000007</v>
      </c>
      <c r="AM102" s="1037">
        <v>332.8</v>
      </c>
      <c r="AN102" s="1037">
        <v>324.5</v>
      </c>
      <c r="AO102" s="1037">
        <v>314.39999999999998</v>
      </c>
      <c r="AP102" s="1039">
        <v>-710.30000000000007</v>
      </c>
      <c r="AQ102" s="1042"/>
    </row>
    <row r="103" spans="1:43">
      <c r="A103" s="1041" t="s">
        <v>519</v>
      </c>
      <c r="B103" s="1037">
        <v>176.3</v>
      </c>
      <c r="C103" s="1037">
        <v>180.2</v>
      </c>
      <c r="D103" s="1037">
        <v>177.9</v>
      </c>
      <c r="F103" s="1037">
        <v>179</v>
      </c>
      <c r="G103" s="1037">
        <v>178.2</v>
      </c>
      <c r="H103" s="1037">
        <v>170.6</v>
      </c>
      <c r="J103" s="1037">
        <v>172.9</v>
      </c>
      <c r="K103" s="1037">
        <v>174.6</v>
      </c>
      <c r="L103" s="1037">
        <v>170.6</v>
      </c>
      <c r="N103" s="1037">
        <v>171.4</v>
      </c>
      <c r="O103" s="1037">
        <v>174.3</v>
      </c>
      <c r="P103" s="1037">
        <v>189.4</v>
      </c>
      <c r="R103" s="1037">
        <v>191.7</v>
      </c>
      <c r="S103" s="1037">
        <v>192.5</v>
      </c>
      <c r="T103" s="1037">
        <v>193.3</v>
      </c>
      <c r="U103" s="1037">
        <v>198.4</v>
      </c>
      <c r="V103" s="1037">
        <v>202.3</v>
      </c>
      <c r="W103" s="1037">
        <v>205.3</v>
      </c>
      <c r="X103" s="1037">
        <v>424.1</v>
      </c>
      <c r="Y103" s="1037">
        <v>424.1</v>
      </c>
      <c r="Z103" s="1037">
        <v>421.4</v>
      </c>
      <c r="AB103" s="1037">
        <v>414.3</v>
      </c>
      <c r="AC103" s="1037">
        <v>405.7</v>
      </c>
      <c r="AD103" s="1037">
        <v>393.6</v>
      </c>
      <c r="AF103" s="1037">
        <v>375.8</v>
      </c>
      <c r="AG103" s="1037">
        <v>369.4</v>
      </c>
      <c r="AH103" s="1037">
        <v>362.3</v>
      </c>
      <c r="AI103" s="1037">
        <v>358.3</v>
      </c>
      <c r="AJ103" s="1037">
        <v>357.4</v>
      </c>
      <c r="AK103" s="1037">
        <v>353.5</v>
      </c>
      <c r="AL103" s="1040">
        <f>VLOOKUP('2010 Q IS'!A103,'Actual IS'!$A$17:$L$150,11,FALSE)-SUM(AI103:AK103)</f>
        <v>-716.2</v>
      </c>
      <c r="AM103" s="1037">
        <v>335</v>
      </c>
      <c r="AN103" s="1037">
        <v>326.7</v>
      </c>
      <c r="AO103" s="1037">
        <v>317.3</v>
      </c>
      <c r="AP103" s="1044">
        <v>307.39999999999998</v>
      </c>
      <c r="AQ103" s="1042"/>
    </row>
    <row r="104" spans="1:43" s="1043" customFormat="1">
      <c r="A104" s="1045" t="s">
        <v>867</v>
      </c>
      <c r="B104" s="1043">
        <v>1589.3</v>
      </c>
      <c r="C104" s="1043">
        <v>1530.6</v>
      </c>
      <c r="D104" s="1043">
        <v>1607.8</v>
      </c>
      <c r="F104" s="1043">
        <v>1732.9</v>
      </c>
      <c r="G104" s="1043">
        <v>1638</v>
      </c>
      <c r="H104" s="1043">
        <v>1769.1</v>
      </c>
      <c r="J104" s="1043">
        <v>2190.9</v>
      </c>
      <c r="K104" s="1043">
        <v>2114.1</v>
      </c>
      <c r="L104" s="1043">
        <v>2315.1999999999998</v>
      </c>
      <c r="N104" s="1043">
        <v>2674.7</v>
      </c>
      <c r="O104" s="1043">
        <v>2617.3000000000002</v>
      </c>
      <c r="P104" s="1043">
        <v>2845.5</v>
      </c>
      <c r="R104" s="1043">
        <v>3017.4</v>
      </c>
      <c r="S104" s="1043">
        <v>2929.6</v>
      </c>
      <c r="T104" s="1043">
        <v>3025.7</v>
      </c>
      <c r="X104" s="1043">
        <v>2925</v>
      </c>
      <c r="Z104" s="1043">
        <v>2994</v>
      </c>
      <c r="AB104" s="1043">
        <v>2867</v>
      </c>
      <c r="AC104" s="1043">
        <v>3058</v>
      </c>
      <c r="AD104" s="1043">
        <v>2938</v>
      </c>
      <c r="AF104" s="1043">
        <v>2936</v>
      </c>
      <c r="AG104" s="1043">
        <v>3047</v>
      </c>
      <c r="AH104" s="1043">
        <v>2900</v>
      </c>
      <c r="AI104" s="1043">
        <v>2743</v>
      </c>
      <c r="AJ104" s="1043">
        <v>2846</v>
      </c>
      <c r="AK104" s="1043">
        <v>2705</v>
      </c>
      <c r="AL104" s="1040">
        <f>VLOOKUP('2010 Q IS'!A104,'Actual IS'!$A$17:$L$150,11,FALSE)-SUM(AI104:AK104)</f>
        <v>2783</v>
      </c>
      <c r="AM104" s="1043">
        <v>2765</v>
      </c>
      <c r="AN104" s="1043">
        <v>2886</v>
      </c>
      <c r="AO104" s="1043">
        <v>2732</v>
      </c>
      <c r="AP104" s="1044">
        <f>963+1100+746</f>
        <v>2809</v>
      </c>
      <c r="AQ104" s="699">
        <f t="shared" ref="AQ104:AQ113" si="5">SUM(AM104:AP104)</f>
        <v>11192</v>
      </c>
    </row>
    <row r="105" spans="1:43">
      <c r="A105" s="1041" t="s">
        <v>867</v>
      </c>
      <c r="G105" s="1037">
        <v>1638</v>
      </c>
      <c r="H105" s="1037">
        <v>1769.1</v>
      </c>
      <c r="J105" s="1037">
        <v>2190.9</v>
      </c>
      <c r="L105" s="1037">
        <v>2315.1999999999998</v>
      </c>
      <c r="AQ105" s="1042">
        <f t="shared" si="5"/>
        <v>0</v>
      </c>
    </row>
    <row r="106" spans="1:43">
      <c r="A106" s="1041" t="s">
        <v>866</v>
      </c>
      <c r="V106" s="1037">
        <v>3113</v>
      </c>
      <c r="Y106" s="1037">
        <v>3081</v>
      </c>
      <c r="AQ106" s="1042">
        <f t="shared" si="5"/>
        <v>0</v>
      </c>
    </row>
    <row r="107" spans="1:43">
      <c r="A107" s="1041" t="s">
        <v>865</v>
      </c>
      <c r="W107" s="1037">
        <v>2756</v>
      </c>
      <c r="AQ107" s="1042">
        <f t="shared" si="5"/>
        <v>0</v>
      </c>
    </row>
    <row r="108" spans="1:43">
      <c r="A108" s="1041" t="s">
        <v>863</v>
      </c>
      <c r="B108" s="1037">
        <v>97.4</v>
      </c>
      <c r="C108" s="1037">
        <v>10.7</v>
      </c>
      <c r="D108" s="1037">
        <v>57.7</v>
      </c>
      <c r="F108" s="1037">
        <v>112.3</v>
      </c>
      <c r="H108" s="1037">
        <v>84.7</v>
      </c>
      <c r="J108" s="1037">
        <v>335.5</v>
      </c>
      <c r="L108" s="1037">
        <v>229.7</v>
      </c>
      <c r="N108" s="1037">
        <v>349.5</v>
      </c>
      <c r="O108" s="1037">
        <v>84.1</v>
      </c>
      <c r="P108" s="1037">
        <v>237.3</v>
      </c>
      <c r="R108" s="1037">
        <v>223.4</v>
      </c>
      <c r="S108" s="1037">
        <v>68</v>
      </c>
      <c r="T108" s="1037">
        <v>70.7</v>
      </c>
      <c r="Y108" s="1037">
        <v>111</v>
      </c>
      <c r="AQ108" s="1042">
        <f t="shared" si="5"/>
        <v>0</v>
      </c>
    </row>
    <row r="109" spans="1:43">
      <c r="A109" s="1041" t="s">
        <v>864</v>
      </c>
      <c r="G109" s="1037">
        <v>-2.5</v>
      </c>
      <c r="K109" s="1037">
        <v>186.2</v>
      </c>
      <c r="X109" s="1037">
        <v>-94</v>
      </c>
      <c r="Z109" s="1037">
        <v>20</v>
      </c>
      <c r="AC109" s="1037">
        <v>-94</v>
      </c>
      <c r="AD109" s="1037">
        <v>40</v>
      </c>
      <c r="AG109" s="1037">
        <v>-61</v>
      </c>
      <c r="AJ109" s="1037">
        <v>-18</v>
      </c>
      <c r="AN109" s="1037">
        <v>-87</v>
      </c>
      <c r="AO109" s="1037">
        <v>66</v>
      </c>
      <c r="AQ109" s="1042">
        <f t="shared" si="5"/>
        <v>-21</v>
      </c>
    </row>
    <row r="110" spans="1:43">
      <c r="A110" s="1041" t="s">
        <v>864</v>
      </c>
      <c r="G110" s="1037">
        <v>-2.5</v>
      </c>
      <c r="AQ110" s="1042">
        <f t="shared" si="5"/>
        <v>0</v>
      </c>
    </row>
    <row r="111" spans="1:43">
      <c r="A111" s="1041" t="s">
        <v>863</v>
      </c>
      <c r="H111" s="1037">
        <v>84.7</v>
      </c>
      <c r="J111" s="1037">
        <v>335.5</v>
      </c>
      <c r="L111" s="1037">
        <v>229.7</v>
      </c>
      <c r="AQ111" s="1042">
        <f t="shared" si="5"/>
        <v>0</v>
      </c>
    </row>
    <row r="112" spans="1:43">
      <c r="A112" s="1041" t="s">
        <v>862</v>
      </c>
      <c r="V112" s="1037">
        <v>94</v>
      </c>
      <c r="AQ112" s="1042">
        <f t="shared" si="5"/>
        <v>0</v>
      </c>
    </row>
    <row r="113" spans="1:43">
      <c r="A113" s="1041" t="s">
        <v>861</v>
      </c>
      <c r="AB113" s="1037">
        <v>118</v>
      </c>
      <c r="AF113" s="1037">
        <v>40</v>
      </c>
      <c r="AH113" s="1037">
        <v>64</v>
      </c>
      <c r="AI113" s="1037">
        <v>83</v>
      </c>
      <c r="AK113" s="1037">
        <v>131</v>
      </c>
      <c r="AM113" s="1037">
        <v>17</v>
      </c>
      <c r="AQ113" s="1042">
        <f t="shared" si="5"/>
        <v>17</v>
      </c>
    </row>
    <row r="114" spans="1:43">
      <c r="A114" s="1041" t="s">
        <v>310</v>
      </c>
      <c r="B114" s="1037">
        <v>1491.9</v>
      </c>
      <c r="C114" s="1037">
        <v>1519.9</v>
      </c>
      <c r="D114" s="1037">
        <v>1550.1</v>
      </c>
      <c r="F114" s="1037">
        <v>1620.6</v>
      </c>
      <c r="G114" s="1037">
        <v>1640.5</v>
      </c>
      <c r="H114" s="1037">
        <v>1684.4</v>
      </c>
      <c r="J114" s="1037">
        <v>1855.4</v>
      </c>
      <c r="K114" s="1037">
        <v>1927.9</v>
      </c>
      <c r="L114" s="1037">
        <v>2085.5</v>
      </c>
      <c r="N114" s="1037">
        <v>2325.1999999999998</v>
      </c>
      <c r="O114" s="1037">
        <v>2533.1999999999998</v>
      </c>
      <c r="P114" s="1037">
        <v>2608.1999999999998</v>
      </c>
      <c r="R114" s="1037">
        <v>2794</v>
      </c>
      <c r="S114" s="1037">
        <v>2861.6</v>
      </c>
      <c r="T114" s="1037">
        <v>2955</v>
      </c>
      <c r="X114" s="1037">
        <v>3019</v>
      </c>
      <c r="Y114" s="1037">
        <v>2970</v>
      </c>
      <c r="Z114" s="1037">
        <v>2974</v>
      </c>
      <c r="AB114" s="1037">
        <v>2985</v>
      </c>
      <c r="AC114" s="1037">
        <v>2964</v>
      </c>
      <c r="AD114" s="1037">
        <v>2978</v>
      </c>
      <c r="AF114" s="1037">
        <v>2976</v>
      </c>
      <c r="AG114" s="1037">
        <v>2986</v>
      </c>
      <c r="AH114" s="1037">
        <v>2964</v>
      </c>
      <c r="AI114" s="1037">
        <v>2826</v>
      </c>
      <c r="AJ114" s="1037">
        <v>2828</v>
      </c>
      <c r="AK114" s="1037">
        <v>2836</v>
      </c>
      <c r="AM114" s="1037">
        <v>2782</v>
      </c>
      <c r="AN114" s="1037">
        <v>2799</v>
      </c>
      <c r="AO114" s="1037">
        <v>2798</v>
      </c>
      <c r="AQ114" s="1042"/>
    </row>
    <row r="115" spans="1:43">
      <c r="A115" s="1041" t="s">
        <v>310</v>
      </c>
      <c r="G115" s="1037">
        <v>1640.5</v>
      </c>
      <c r="H115" s="1037">
        <v>1684.4</v>
      </c>
      <c r="J115" s="1037">
        <v>1855.4</v>
      </c>
      <c r="L115" s="1037">
        <v>2085.5</v>
      </c>
      <c r="AQ115" s="1042">
        <f t="shared" ref="AQ115:AQ144" si="6">SUM(AM115:AP115)</f>
        <v>0</v>
      </c>
    </row>
    <row r="116" spans="1:43">
      <c r="A116" s="1041" t="s">
        <v>860</v>
      </c>
      <c r="V116" s="1037">
        <v>3019</v>
      </c>
      <c r="W116" s="1037">
        <v>3042.8</v>
      </c>
      <c r="AQ116" s="1042">
        <f t="shared" si="6"/>
        <v>0</v>
      </c>
    </row>
    <row r="117" spans="1:43">
      <c r="A117" s="1041" t="s">
        <v>859</v>
      </c>
      <c r="B117" s="1037">
        <v>1027.4000000000001</v>
      </c>
      <c r="C117" s="1037">
        <v>996.8</v>
      </c>
      <c r="D117" s="1037">
        <v>1032.5999999999999</v>
      </c>
      <c r="F117" s="1037">
        <v>1081</v>
      </c>
      <c r="G117" s="1037">
        <v>1143.0999999999999</v>
      </c>
      <c r="H117" s="1037">
        <v>1772.4</v>
      </c>
      <c r="J117" s="1037">
        <v>1190.5</v>
      </c>
      <c r="K117" s="1037">
        <v>1270.5</v>
      </c>
      <c r="N117" s="1037">
        <v>1505.5</v>
      </c>
      <c r="O117" s="1037">
        <v>1633.2</v>
      </c>
      <c r="P117" s="1037">
        <v>1711.3</v>
      </c>
      <c r="AQ117" s="1042">
        <f t="shared" si="6"/>
        <v>0</v>
      </c>
    </row>
    <row r="118" spans="1:43">
      <c r="A118" s="1041" t="s">
        <v>859</v>
      </c>
      <c r="G118" s="1037">
        <v>1143.0999999999999</v>
      </c>
      <c r="J118" s="1037">
        <v>1190.5</v>
      </c>
      <c r="L118" s="1037">
        <v>2052</v>
      </c>
      <c r="AQ118" s="1042">
        <f t="shared" si="6"/>
        <v>0</v>
      </c>
    </row>
    <row r="119" spans="1:43">
      <c r="A119" s="1041" t="s">
        <v>858</v>
      </c>
      <c r="H119" s="1037">
        <v>1772.4</v>
      </c>
      <c r="AQ119" s="1042">
        <f t="shared" si="6"/>
        <v>0</v>
      </c>
    </row>
    <row r="120" spans="1:43">
      <c r="A120" s="1041" t="s">
        <v>858</v>
      </c>
      <c r="L120" s="1037">
        <v>2052</v>
      </c>
      <c r="AQ120" s="1042">
        <f t="shared" si="6"/>
        <v>0</v>
      </c>
    </row>
    <row r="121" spans="1:43">
      <c r="A121" s="1041" t="s">
        <v>616</v>
      </c>
      <c r="R121" s="1037">
        <v>1740.6</v>
      </c>
      <c r="S121" s="1037">
        <v>1805.9</v>
      </c>
      <c r="T121" s="1037">
        <v>1881.8</v>
      </c>
      <c r="X121" s="1037">
        <v>1618</v>
      </c>
      <c r="Y121" s="1037">
        <v>1679</v>
      </c>
      <c r="Z121" s="1037">
        <v>1687</v>
      </c>
      <c r="AB121" s="1037">
        <v>1580</v>
      </c>
      <c r="AC121" s="1037">
        <v>1572</v>
      </c>
      <c r="AD121" s="1037">
        <v>1541</v>
      </c>
      <c r="AF121" s="1037">
        <v>1584</v>
      </c>
      <c r="AG121" s="1037">
        <v>1749</v>
      </c>
      <c r="AH121" s="1037">
        <v>2006</v>
      </c>
      <c r="AI121" s="1037">
        <v>1615</v>
      </c>
      <c r="AJ121" s="1037">
        <v>1572</v>
      </c>
      <c r="AK121" s="1037">
        <v>1534</v>
      </c>
      <c r="AM121" s="1037">
        <v>1730</v>
      </c>
      <c r="AN121" s="1037">
        <v>1660</v>
      </c>
      <c r="AO121" s="1037">
        <v>1522</v>
      </c>
      <c r="AQ121" s="1042">
        <f t="shared" si="6"/>
        <v>4912</v>
      </c>
    </row>
    <row r="122" spans="1:43">
      <c r="A122" s="1041" t="s">
        <v>523</v>
      </c>
      <c r="V122" s="1037">
        <v>1819</v>
      </c>
      <c r="AQ122" s="1042">
        <f t="shared" si="6"/>
        <v>0</v>
      </c>
    </row>
    <row r="123" spans="1:43">
      <c r="A123" s="1041" t="s">
        <v>856</v>
      </c>
      <c r="B123" s="1037">
        <v>-31.2</v>
      </c>
      <c r="C123" s="1037">
        <v>21.2</v>
      </c>
      <c r="D123" s="1037">
        <v>4.9000000000000004</v>
      </c>
      <c r="G123" s="1037">
        <v>-54</v>
      </c>
      <c r="H123" s="1037">
        <v>-628.29999999999995</v>
      </c>
      <c r="J123" s="1037">
        <v>57.1</v>
      </c>
      <c r="K123" s="1037">
        <v>24.3</v>
      </c>
      <c r="L123" s="1037">
        <v>-646.20000000000005</v>
      </c>
      <c r="P123" s="1037">
        <v>70.599999999999994</v>
      </c>
      <c r="W123" s="1037">
        <v>-59</v>
      </c>
      <c r="Z123" s="1037">
        <v>436</v>
      </c>
      <c r="AQ123" s="1042">
        <f t="shared" si="6"/>
        <v>0</v>
      </c>
    </row>
    <row r="124" spans="1:43">
      <c r="A124" s="1041" t="s">
        <v>857</v>
      </c>
      <c r="F124" s="1037">
        <v>-7.6</v>
      </c>
      <c r="AQ124" s="1042">
        <f t="shared" si="6"/>
        <v>0</v>
      </c>
    </row>
    <row r="125" spans="1:43">
      <c r="A125" s="1041" t="s">
        <v>856</v>
      </c>
      <c r="G125" s="1037">
        <v>-54</v>
      </c>
      <c r="H125" s="1037">
        <v>-628.29999999999995</v>
      </c>
      <c r="L125" s="1037">
        <v>-646.20000000000005</v>
      </c>
      <c r="AQ125" s="1042">
        <f t="shared" si="6"/>
        <v>0</v>
      </c>
    </row>
    <row r="126" spans="1:43">
      <c r="A126" s="1041" t="s">
        <v>586</v>
      </c>
      <c r="J126" s="1037">
        <v>57.1</v>
      </c>
      <c r="AQ126" s="1042">
        <f t="shared" si="6"/>
        <v>0</v>
      </c>
    </row>
    <row r="127" spans="1:43">
      <c r="A127" s="1041" t="s">
        <v>586</v>
      </c>
      <c r="N127" s="1037">
        <v>70.099999999999994</v>
      </c>
      <c r="O127" s="1037">
        <v>101.3</v>
      </c>
      <c r="R127" s="1037">
        <v>178.4</v>
      </c>
      <c r="S127" s="1037">
        <v>195</v>
      </c>
      <c r="T127" s="1037">
        <v>193.4</v>
      </c>
      <c r="Y127" s="1037">
        <v>444</v>
      </c>
      <c r="AB127" s="1037">
        <v>527</v>
      </c>
      <c r="AC127" s="1037">
        <v>540</v>
      </c>
      <c r="AD127" s="1037">
        <v>569</v>
      </c>
      <c r="AF127" s="1037">
        <v>502</v>
      </c>
      <c r="AG127" s="1037">
        <v>347</v>
      </c>
      <c r="AH127" s="1037">
        <v>69</v>
      </c>
      <c r="AI127" s="1037">
        <v>376</v>
      </c>
      <c r="AJ127" s="1037">
        <v>396</v>
      </c>
      <c r="AK127" s="1037">
        <v>423</v>
      </c>
      <c r="AM127" s="1037">
        <v>204</v>
      </c>
      <c r="AN127" s="1037">
        <v>263</v>
      </c>
      <c r="AO127" s="1037">
        <v>399</v>
      </c>
      <c r="AQ127" s="1042">
        <f t="shared" si="6"/>
        <v>866</v>
      </c>
    </row>
    <row r="128" spans="1:43">
      <c r="A128" s="1041" t="s">
        <v>855</v>
      </c>
      <c r="B128" s="1037">
        <v>69.2</v>
      </c>
      <c r="C128" s="1037">
        <v>65.900000000000006</v>
      </c>
      <c r="D128" s="1037">
        <v>66.900000000000006</v>
      </c>
      <c r="F128" s="1037">
        <v>67</v>
      </c>
      <c r="G128" s="1037">
        <v>70</v>
      </c>
      <c r="H128" s="1037">
        <v>67.2</v>
      </c>
      <c r="J128" s="1037">
        <v>64.400000000000006</v>
      </c>
      <c r="K128" s="1037">
        <v>66.2</v>
      </c>
      <c r="L128" s="1037">
        <v>68.7</v>
      </c>
      <c r="N128" s="1037">
        <v>64.900000000000006</v>
      </c>
      <c r="O128" s="1037">
        <v>64.599999999999994</v>
      </c>
      <c r="P128" s="1037">
        <v>65.7</v>
      </c>
      <c r="R128" s="1037">
        <v>62.5</v>
      </c>
      <c r="S128" s="1037">
        <v>63.3</v>
      </c>
      <c r="T128" s="1037">
        <v>63.9</v>
      </c>
      <c r="U128" s="1037">
        <v>60.6</v>
      </c>
      <c r="V128" s="1037">
        <v>60.3</v>
      </c>
      <c r="AE128" s="1037">
        <v>53.3</v>
      </c>
      <c r="AQ128" s="1042">
        <f t="shared" si="6"/>
        <v>0</v>
      </c>
    </row>
    <row r="129" spans="1:43">
      <c r="A129" s="1041" t="s">
        <v>855</v>
      </c>
      <c r="L129" s="1037">
        <v>98.8</v>
      </c>
      <c r="AQ129" s="1042">
        <f t="shared" si="6"/>
        <v>0</v>
      </c>
    </row>
    <row r="130" spans="1:43">
      <c r="A130" s="1041" t="s">
        <v>581</v>
      </c>
      <c r="W130" s="1037">
        <v>74.400000000000006</v>
      </c>
      <c r="X130" s="1037">
        <v>53.8</v>
      </c>
      <c r="Y130" s="1037">
        <v>56.7</v>
      </c>
      <c r="Z130" s="1037">
        <v>56.9</v>
      </c>
      <c r="AB130" s="1037">
        <v>53</v>
      </c>
      <c r="AC130" s="1037">
        <v>53.1</v>
      </c>
      <c r="AD130" s="1037">
        <v>52.7</v>
      </c>
      <c r="AF130" s="1037">
        <v>53.4</v>
      </c>
      <c r="AG130" s="1037">
        <v>56.1</v>
      </c>
      <c r="AH130" s="1037">
        <v>67.900000000000006</v>
      </c>
      <c r="AI130" s="1037">
        <v>57.3</v>
      </c>
      <c r="AJ130" s="1037">
        <v>56.5</v>
      </c>
      <c r="AK130" s="1037">
        <v>55.8</v>
      </c>
      <c r="AM130" s="1037">
        <v>62.3</v>
      </c>
      <c r="AN130" s="1037">
        <v>59.5</v>
      </c>
      <c r="AO130" s="1037">
        <v>54.5</v>
      </c>
      <c r="AQ130" s="1042">
        <f t="shared" si="6"/>
        <v>176.3</v>
      </c>
    </row>
    <row r="131" spans="1:43">
      <c r="A131" s="1041" t="s">
        <v>854</v>
      </c>
      <c r="AA131" s="1037">
        <v>53.2</v>
      </c>
      <c r="AQ131" s="1042">
        <f t="shared" si="6"/>
        <v>0</v>
      </c>
    </row>
    <row r="132" spans="1:43">
      <c r="A132" s="1041" t="s">
        <v>853</v>
      </c>
      <c r="B132" s="1037">
        <v>32.700000000000003</v>
      </c>
      <c r="C132" s="1037">
        <v>32.700000000000003</v>
      </c>
      <c r="D132" s="1037">
        <v>32.5</v>
      </c>
      <c r="F132" s="1037">
        <v>32.9</v>
      </c>
      <c r="G132" s="1037">
        <v>33.5</v>
      </c>
      <c r="H132" s="1037">
        <v>32.700000000000003</v>
      </c>
      <c r="J132" s="1037">
        <v>31.5</v>
      </c>
      <c r="K132" s="1037">
        <v>31.8</v>
      </c>
      <c r="L132" s="1037">
        <v>31.2</v>
      </c>
      <c r="N132" s="1037">
        <v>30.4</v>
      </c>
      <c r="O132" s="1037">
        <v>30.7</v>
      </c>
      <c r="P132" s="1037">
        <v>30.9</v>
      </c>
      <c r="R132" s="1037">
        <v>30.1</v>
      </c>
      <c r="S132" s="1037">
        <v>29.5</v>
      </c>
      <c r="T132" s="1037">
        <v>29.4</v>
      </c>
      <c r="U132" s="1037">
        <v>28.8</v>
      </c>
      <c r="V132" s="1037">
        <v>28</v>
      </c>
      <c r="AE132" s="1037">
        <v>30.5</v>
      </c>
      <c r="AQ132" s="1042">
        <f t="shared" si="6"/>
        <v>0</v>
      </c>
    </row>
    <row r="133" spans="1:43">
      <c r="A133" s="1041" t="s">
        <v>853</v>
      </c>
      <c r="L133" s="1037">
        <v>31.2</v>
      </c>
      <c r="AQ133" s="1042">
        <f t="shared" si="6"/>
        <v>0</v>
      </c>
    </row>
    <row r="134" spans="1:43">
      <c r="A134" s="1041" t="s">
        <v>580</v>
      </c>
      <c r="W134" s="1037">
        <v>27.8</v>
      </c>
      <c r="X134" s="1037">
        <v>29.1</v>
      </c>
      <c r="Y134" s="1037">
        <v>28.5</v>
      </c>
      <c r="Z134" s="1037">
        <v>28.6</v>
      </c>
      <c r="AB134" s="1037">
        <v>30.4</v>
      </c>
      <c r="AC134" s="1037">
        <v>30</v>
      </c>
      <c r="AD134" s="1037">
        <v>29.9</v>
      </c>
      <c r="AF134" s="1037">
        <v>30.5</v>
      </c>
      <c r="AG134" s="1037">
        <v>30.1</v>
      </c>
      <c r="AH134" s="1037">
        <v>30.2</v>
      </c>
      <c r="AI134" s="1037">
        <v>30.8</v>
      </c>
      <c r="AJ134" s="1037">
        <v>30.5</v>
      </c>
      <c r="AK134" s="1037">
        <v>30.7</v>
      </c>
      <c r="AM134" s="1037">
        <v>31.3</v>
      </c>
      <c r="AN134" s="1037">
        <v>30.9</v>
      </c>
      <c r="AO134" s="1037">
        <v>31.7</v>
      </c>
      <c r="AQ134" s="1042">
        <f t="shared" si="6"/>
        <v>93.9</v>
      </c>
    </row>
    <row r="135" spans="1:43">
      <c r="A135" s="1041" t="s">
        <v>852</v>
      </c>
      <c r="AA135" s="1037">
        <v>29.9</v>
      </c>
      <c r="AQ135" s="1042">
        <f t="shared" si="6"/>
        <v>0</v>
      </c>
    </row>
    <row r="136" spans="1:43">
      <c r="A136" s="1041" t="s">
        <v>851</v>
      </c>
      <c r="B136" s="1037">
        <v>101.9</v>
      </c>
      <c r="C136" s="1037">
        <v>98.6</v>
      </c>
      <c r="D136" s="1037">
        <v>99.4</v>
      </c>
      <c r="F136" s="1037">
        <v>99.9</v>
      </c>
      <c r="G136" s="1037">
        <v>103.5</v>
      </c>
      <c r="H136" s="1037">
        <v>99.9</v>
      </c>
      <c r="J136" s="1037">
        <v>95.9</v>
      </c>
      <c r="K136" s="1037">
        <v>98</v>
      </c>
      <c r="L136" s="1037">
        <v>99.9</v>
      </c>
      <c r="N136" s="1037">
        <v>95.3</v>
      </c>
      <c r="O136" s="1037">
        <v>95.3</v>
      </c>
      <c r="P136" s="1037">
        <v>96.6</v>
      </c>
      <c r="R136" s="1037">
        <v>92.6</v>
      </c>
      <c r="S136" s="1037">
        <v>92.8</v>
      </c>
      <c r="T136" s="1037">
        <v>93.3</v>
      </c>
      <c r="U136" s="1037">
        <v>89.4</v>
      </c>
      <c r="V136" s="1037">
        <v>88.3</v>
      </c>
      <c r="AE136" s="1037">
        <v>83.8</v>
      </c>
      <c r="AQ136" s="1042">
        <f t="shared" si="6"/>
        <v>0</v>
      </c>
    </row>
    <row r="137" spans="1:43">
      <c r="A137" s="1041" t="s">
        <v>851</v>
      </c>
      <c r="L137" s="1037">
        <v>130</v>
      </c>
      <c r="AQ137" s="1042">
        <f t="shared" si="6"/>
        <v>0</v>
      </c>
    </row>
    <row r="138" spans="1:43">
      <c r="A138" s="1041" t="s">
        <v>850</v>
      </c>
      <c r="W138" s="1037">
        <v>102.2</v>
      </c>
      <c r="X138" s="1037">
        <v>82.9</v>
      </c>
      <c r="Y138" s="1037">
        <v>85.2</v>
      </c>
      <c r="Z138" s="1037">
        <v>85.5</v>
      </c>
      <c r="AB138" s="1037">
        <v>83.4</v>
      </c>
      <c r="AC138" s="1037">
        <v>83.1</v>
      </c>
      <c r="AD138" s="1037">
        <v>82.6</v>
      </c>
      <c r="AF138" s="1037">
        <v>83.9</v>
      </c>
      <c r="AG138" s="1037">
        <v>86.2</v>
      </c>
      <c r="AH138" s="1037">
        <v>98.1</v>
      </c>
      <c r="AI138" s="1037">
        <v>88.1</v>
      </c>
      <c r="AK138" s="1037">
        <v>86.5</v>
      </c>
      <c r="AN138" s="1037">
        <v>90.4</v>
      </c>
      <c r="AO138" s="1037">
        <v>86.2</v>
      </c>
      <c r="AQ138" s="1042">
        <f t="shared" si="6"/>
        <v>176.60000000000002</v>
      </c>
    </row>
    <row r="139" spans="1:43">
      <c r="A139" s="1041" t="s">
        <v>849</v>
      </c>
      <c r="AA139" s="1037">
        <v>83.1</v>
      </c>
      <c r="AM139" s="1037">
        <v>93.6</v>
      </c>
      <c r="AQ139" s="1042">
        <f t="shared" si="6"/>
        <v>93.6</v>
      </c>
    </row>
    <row r="140" spans="1:43">
      <c r="A140" s="1041" t="s">
        <v>848</v>
      </c>
      <c r="AJ140" s="1037">
        <v>87</v>
      </c>
      <c r="AQ140" s="1042">
        <f t="shared" si="6"/>
        <v>0</v>
      </c>
    </row>
    <row r="141" spans="1:43">
      <c r="A141" s="1041" t="s">
        <v>578</v>
      </c>
      <c r="B141" s="1037">
        <v>30.3</v>
      </c>
      <c r="C141" s="1037">
        <v>24.3</v>
      </c>
      <c r="D141" s="1037">
        <v>8</v>
      </c>
      <c r="F141" s="1037">
        <v>11.5</v>
      </c>
      <c r="G141" s="1037">
        <v>80.3</v>
      </c>
      <c r="H141" s="1037">
        <v>14.7</v>
      </c>
      <c r="J141" s="1037">
        <v>13.3</v>
      </c>
      <c r="K141" s="1037">
        <v>10.3</v>
      </c>
      <c r="L141" s="1037">
        <v>51.6</v>
      </c>
      <c r="N141" s="1037">
        <v>94.9</v>
      </c>
      <c r="O141" s="1037">
        <v>70.599999999999994</v>
      </c>
      <c r="P141" s="1037">
        <v>96</v>
      </c>
      <c r="R141" s="1037">
        <v>96.7</v>
      </c>
      <c r="S141" s="1037">
        <v>45.7</v>
      </c>
      <c r="T141" s="1037">
        <v>196.1</v>
      </c>
      <c r="U141" s="1037">
        <v>20</v>
      </c>
      <c r="V141" s="1037">
        <v>21</v>
      </c>
      <c r="W141" s="1037">
        <v>472</v>
      </c>
      <c r="X141" s="1037">
        <v>21</v>
      </c>
      <c r="Y141" s="1037">
        <v>80</v>
      </c>
      <c r="Z141" s="1037">
        <v>44</v>
      </c>
      <c r="AA141" s="1037">
        <v>28</v>
      </c>
      <c r="AB141" s="1037">
        <v>76</v>
      </c>
      <c r="AC141" s="1037">
        <v>115</v>
      </c>
      <c r="AD141" s="1037">
        <v>58</v>
      </c>
      <c r="AF141" s="1037">
        <v>54</v>
      </c>
      <c r="AG141" s="1037">
        <v>160</v>
      </c>
      <c r="AH141" s="1037">
        <v>402</v>
      </c>
      <c r="AI141" s="1037">
        <v>26</v>
      </c>
      <c r="AJ141" s="1037">
        <v>43</v>
      </c>
      <c r="AK141" s="1037">
        <v>22</v>
      </c>
      <c r="AM141" s="1037">
        <v>344</v>
      </c>
      <c r="AN141" s="1037">
        <v>193</v>
      </c>
      <c r="AQ141" s="1042">
        <f t="shared" si="6"/>
        <v>537</v>
      </c>
    </row>
    <row r="142" spans="1:43">
      <c r="A142" s="1041" t="s">
        <v>578</v>
      </c>
      <c r="G142" s="1037">
        <v>80.3</v>
      </c>
      <c r="H142" s="1037">
        <v>14.7</v>
      </c>
      <c r="J142" s="1037">
        <v>13.3</v>
      </c>
      <c r="L142" s="1037">
        <v>51.6</v>
      </c>
      <c r="AQ142" s="1042">
        <f t="shared" si="6"/>
        <v>0</v>
      </c>
    </row>
    <row r="143" spans="1:43">
      <c r="A143" s="1041" t="s">
        <v>847</v>
      </c>
      <c r="AO143" s="1037">
        <v>58</v>
      </c>
      <c r="AQ143" s="1042">
        <f t="shared" si="6"/>
        <v>58</v>
      </c>
    </row>
    <row r="144" spans="1:43">
      <c r="A144" s="1041" t="s">
        <v>846</v>
      </c>
      <c r="B144" s="1037">
        <v>5.8</v>
      </c>
      <c r="F144" s="1037">
        <v>3.5</v>
      </c>
      <c r="L144" s="1037">
        <v>43.9</v>
      </c>
      <c r="O144" s="1037">
        <v>20.7</v>
      </c>
      <c r="P144" s="1037">
        <v>60.5</v>
      </c>
      <c r="R144" s="1037">
        <v>80.900000000000006</v>
      </c>
      <c r="S144" s="1037">
        <v>16.7</v>
      </c>
      <c r="T144" s="1037">
        <v>48.9</v>
      </c>
      <c r="W144" s="1037">
        <v>99</v>
      </c>
      <c r="Y144" s="1037">
        <v>42</v>
      </c>
      <c r="Z144" s="1037">
        <v>38</v>
      </c>
      <c r="AB144" s="1037">
        <v>117</v>
      </c>
      <c r="AC144" s="1037">
        <v>94</v>
      </c>
      <c r="AD144" s="1037">
        <v>117</v>
      </c>
      <c r="AF144" s="1037">
        <v>68</v>
      </c>
      <c r="AG144" s="1037">
        <v>-76</v>
      </c>
      <c r="AH144" s="1037">
        <v>-17</v>
      </c>
      <c r="AI144" s="1037">
        <v>-266</v>
      </c>
      <c r="AJ144" s="1037">
        <v>27</v>
      </c>
      <c r="AK144" s="1037">
        <v>69</v>
      </c>
      <c r="AM144" s="1037">
        <v>127</v>
      </c>
      <c r="AO144" s="1037">
        <v>54</v>
      </c>
      <c r="AQ144" s="1042">
        <f t="shared" si="6"/>
        <v>181</v>
      </c>
    </row>
    <row r="145" spans="1:31" s="1037" customFormat="1">
      <c r="A145" s="1041" t="s">
        <v>555</v>
      </c>
      <c r="E145" s="1037">
        <v>589.20000000000005</v>
      </c>
      <c r="I145" s="1037">
        <v>665.2</v>
      </c>
      <c r="M145" s="1037">
        <v>745.9</v>
      </c>
      <c r="Q145" s="1037">
        <v>944.3</v>
      </c>
      <c r="AA145" s="1037">
        <v>1533</v>
      </c>
      <c r="AE145" s="1037">
        <v>1658</v>
      </c>
    </row>
    <row r="146" spans="1:31" s="1037" customFormat="1">
      <c r="A146" s="1041" t="s">
        <v>555</v>
      </c>
      <c r="E146" s="1037">
        <v>126.3</v>
      </c>
      <c r="I146" s="1037">
        <v>137</v>
      </c>
      <c r="M146" s="1037">
        <v>155</v>
      </c>
      <c r="Q146" s="1037">
        <v>212.4</v>
      </c>
      <c r="AA146" s="1037">
        <v>269</v>
      </c>
      <c r="AE146" s="1037">
        <v>289</v>
      </c>
    </row>
    <row r="147" spans="1:31" s="1037" customFormat="1">
      <c r="A147" s="1041" t="s">
        <v>554</v>
      </c>
      <c r="E147" s="1037">
        <v>594.1</v>
      </c>
      <c r="I147" s="1037">
        <v>538.79999999999995</v>
      </c>
      <c r="M147" s="1037">
        <v>461.4</v>
      </c>
      <c r="Q147" s="1037">
        <v>771.4</v>
      </c>
      <c r="AA147" s="1037">
        <v>1304</v>
      </c>
      <c r="AE147" s="1037">
        <v>1409</v>
      </c>
    </row>
    <row r="148" spans="1:31" s="1037" customFormat="1">
      <c r="A148" s="1041" t="s">
        <v>554</v>
      </c>
      <c r="AA148" s="1037">
        <v>26</v>
      </c>
      <c r="AE148" s="1037">
        <v>37</v>
      </c>
    </row>
    <row r="149" spans="1:31" s="1037" customFormat="1">
      <c r="A149" s="1041" t="s">
        <v>553</v>
      </c>
      <c r="E149" s="1037">
        <v>4.9000000000000004</v>
      </c>
      <c r="I149" s="1037">
        <v>-126.4</v>
      </c>
      <c r="M149" s="1037">
        <v>-284.5</v>
      </c>
      <c r="Q149" s="1037">
        <v>-172.9</v>
      </c>
      <c r="AA149" s="1037">
        <v>-229</v>
      </c>
      <c r="AE149" s="1037">
        <v>249</v>
      </c>
    </row>
    <row r="150" spans="1:31" s="1037" customFormat="1">
      <c r="A150" s="1041" t="s">
        <v>553</v>
      </c>
      <c r="Q150" s="1037">
        <v>-212.4</v>
      </c>
      <c r="AA150" s="1037">
        <v>-243</v>
      </c>
      <c r="AE150" s="1037">
        <v>252</v>
      </c>
    </row>
  </sheetData>
  <customSheetViews>
    <customSheetView guid="{5A4827F7-D52D-44AD-B257-2AB13F875B96}" scale="70" showGridLines="0" hiddenColumns="1">
      <pane xSplit="1" ySplit="12" topLeftCell="AI33" activePane="bottomRight" state="frozenSplit"/>
      <selection pane="bottomRight" activeCell="AQ48" sqref="AQ48"/>
      <pageMargins left="0.7" right="0.7" top="0.75" bottom="0.75" header="0.3" footer="0.3"/>
    </customSheetView>
  </customSheetView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36</vt:i4>
      </vt:variant>
      <vt:variant>
        <vt:lpstr>Named Ranges</vt:lpstr>
      </vt:variant>
      <vt:variant>
        <vt:i4>37</vt:i4>
      </vt:variant>
    </vt:vector>
  </HeadingPairs>
  <TitlesOfParts>
    <vt:vector size="73" baseType="lpstr">
      <vt:lpstr>WSO Cover Page</vt:lpstr>
      <vt:lpstr>inputs</vt:lpstr>
      <vt:lpstr>multiples</vt:lpstr>
      <vt:lpstr>PE</vt:lpstr>
      <vt:lpstr>FCF</vt:lpstr>
      <vt:lpstr>IS</vt:lpstr>
      <vt:lpstr>Income Statement</vt:lpstr>
      <vt:lpstr>Actual IS</vt:lpstr>
      <vt:lpstr>2010 Q IS</vt:lpstr>
      <vt:lpstr>BS</vt:lpstr>
      <vt:lpstr>Balance Sheet</vt:lpstr>
      <vt:lpstr>Actual BS</vt:lpstr>
      <vt:lpstr>cf</vt:lpstr>
      <vt:lpstr>workingcap</vt:lpstr>
      <vt:lpstr>Investments</vt:lpstr>
      <vt:lpstr>amort</vt:lpstr>
      <vt:lpstr>other</vt:lpstr>
      <vt:lpstr>equity</vt:lpstr>
      <vt:lpstr>shares</vt:lpstr>
      <vt:lpstr>debt_interest</vt:lpstr>
      <vt:lpstr>CB-pf</vt:lpstr>
      <vt:lpstr>2011 Guidance</vt:lpstr>
      <vt:lpstr>NI vs EPS vs shares</vt:lpstr>
      <vt:lpstr>BS 2010 Q3</vt:lpstr>
      <vt:lpstr>Capital</vt:lpstr>
      <vt:lpstr>BS_Index</vt:lpstr>
      <vt:lpstr>BS_Common</vt:lpstr>
      <vt:lpstr>IS_Index</vt:lpstr>
      <vt:lpstr>IS_Common</vt:lpstr>
      <vt:lpstr>Du Pont</vt:lpstr>
      <vt:lpstr>Ratios (2)</vt:lpstr>
      <vt:lpstr>TRV Comps</vt:lpstr>
      <vt:lpstr>Actual CF</vt:lpstr>
      <vt:lpstr>ratios</vt:lpstr>
      <vt:lpstr>reconciliations</vt:lpstr>
      <vt:lpstr>DCF</vt:lpstr>
      <vt:lpstr>Adjust</vt:lpstr>
      <vt:lpstr>amort</vt:lpstr>
      <vt:lpstr>BDA_CB_US_ARD_Items_Cash_Fl</vt:lpstr>
      <vt:lpstr>bs</vt:lpstr>
      <vt:lpstr>bs.date</vt:lpstr>
      <vt:lpstr>cf</vt:lpstr>
      <vt:lpstr>days</vt:lpstr>
      <vt:lpstr>DCF</vt:lpstr>
      <vt:lpstr>debt_interest</vt:lpstr>
      <vt:lpstr>dep</vt:lpstr>
      <vt:lpstr>equity</vt:lpstr>
      <vt:lpstr>FYE</vt:lpstr>
      <vt:lpstr>inputs</vt:lpstr>
      <vt:lpstr>is</vt:lpstr>
      <vt:lpstr>Name</vt:lpstr>
      <vt:lpstr>other</vt:lpstr>
      <vt:lpstr>amort!Print_Area</vt:lpstr>
      <vt:lpstr>BS!Print_Area</vt:lpstr>
      <vt:lpstr>cf!Print_Area</vt:lpstr>
      <vt:lpstr>DCF!Print_Area</vt:lpstr>
      <vt:lpstr>debt_interest!Print_Area</vt:lpstr>
      <vt:lpstr>equity!Print_Area</vt:lpstr>
      <vt:lpstr>inputs!Print_Area</vt:lpstr>
      <vt:lpstr>Investments!Print_Area</vt:lpstr>
      <vt:lpstr>IS!Print_Area</vt:lpstr>
      <vt:lpstr>other!Print_Area</vt:lpstr>
      <vt:lpstr>ratios!Print_Area</vt:lpstr>
      <vt:lpstr>reconciliations!Print_Area</vt:lpstr>
      <vt:lpstr>shares!Print_Area</vt:lpstr>
      <vt:lpstr>workingcap!Print_Area</vt:lpstr>
      <vt:lpstr>ratios!Print_Titles</vt:lpstr>
      <vt:lpstr>pv.date</vt:lpstr>
      <vt:lpstr>Ratios</vt:lpstr>
      <vt:lpstr>reconciliations</vt:lpstr>
      <vt:lpstr>shares</vt:lpstr>
      <vt:lpstr>Subheader</vt:lpstr>
      <vt:lpstr>workingcap</vt:lpstr>
    </vt:vector>
  </TitlesOfParts>
  <LinksUpToDate>false</LinksUpToDate>
  <SharedDoc>false</SharedDoc>
  <HyperlinkBase>www.trainingthestreet.com</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Training The Street, Inc.</dc:creator>
  <cp:lastModifiedBy>Isla Okkinga</cp:lastModifiedBy>
  <cp:lastPrinted>2011-01-05T06:04:32Z</cp:lastPrinted>
  <dcterms:created xsi:type="dcterms:W3CDTF">2000-04-02T00:50:24Z</dcterms:created>
  <dcterms:modified xsi:type="dcterms:W3CDTF">2020-07-21T19:50:55Z</dcterms:modified>
</cp:coreProperties>
</file>